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BK02FOO\OneDrive - Coop Danmark\Documents\GoCook\GoCooks årshjul\"/>
    </mc:Choice>
  </mc:AlternateContent>
  <xr:revisionPtr revIDLastSave="585" documentId="8_{341852B7-4754-44C0-9971-637AE285C65B}" xr6:coauthVersionLast="45" xr6:coauthVersionMax="45" xr10:uidLastSave="{73FD2CFD-1630-4FCD-8126-82D5276AAF48}"/>
  <bookViews>
    <workbookView xWindow="-110" yWindow="-110" windowWidth="19420" windowHeight="10420" xr2:uid="{00000000-000D-0000-FFFF-FFFF00000000}"/>
  </bookViews>
  <sheets>
    <sheet name="Årsplan_hele året" sheetId="1" r:id="rId1"/>
  </sheets>
  <definedNames>
    <definedName name="_xlnm.Print_Titles" localSheetId="0">'Årsplan_hele året'!$1:$1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17" i="1" l="1"/>
  <c r="H815" i="1"/>
  <c r="H813" i="1"/>
  <c r="H749" i="1"/>
  <c r="H747" i="1"/>
  <c r="G745" i="1"/>
  <c r="G744" i="1"/>
  <c r="G743" i="1"/>
  <c r="H733" i="1"/>
  <c r="H732" i="1"/>
  <c r="H731" i="1"/>
  <c r="H719" i="1"/>
  <c r="H718" i="1"/>
  <c r="H717" i="1"/>
  <c r="H705" i="1"/>
  <c r="H703" i="1"/>
  <c r="G697" i="1"/>
  <c r="G696" i="1"/>
  <c r="G695" i="1"/>
  <c r="G693" i="1"/>
  <c r="H688" i="1"/>
  <c r="H687" i="1"/>
  <c r="H686" i="1"/>
  <c r="H675" i="1"/>
  <c r="H674" i="1"/>
  <c r="H673" i="1"/>
  <c r="H672" i="1"/>
  <c r="H671" i="1"/>
  <c r="H656" i="1"/>
  <c r="H655" i="1"/>
  <c r="H654" i="1"/>
  <c r="H653" i="1"/>
  <c r="H652" i="1"/>
  <c r="H651" i="1"/>
  <c r="G568" i="1"/>
  <c r="H523" i="1"/>
  <c r="H522" i="1"/>
  <c r="H509" i="1"/>
  <c r="G462" i="1"/>
  <c r="H442" i="1"/>
  <c r="H441" i="1"/>
  <c r="H354" i="1"/>
  <c r="H353" i="1"/>
  <c r="H336" i="1"/>
  <c r="H319" i="1"/>
  <c r="H67" i="1"/>
  <c r="H19" i="1"/>
  <c r="G7" i="1"/>
  <c r="H818" i="1" l="1"/>
  <c r="H816" i="1"/>
  <c r="H814" i="1"/>
  <c r="H812" i="1"/>
  <c r="G800" i="1"/>
  <c r="G799" i="1"/>
  <c r="G798" i="1"/>
  <c r="G797" i="1"/>
  <c r="G796" i="1"/>
  <c r="H794" i="1"/>
  <c r="H793" i="1"/>
  <c r="H792" i="1"/>
  <c r="H791" i="1"/>
  <c r="H790" i="1"/>
  <c r="H789" i="1"/>
  <c r="H788" i="1"/>
  <c r="H787" i="1"/>
  <c r="H786" i="1"/>
  <c r="G772" i="1"/>
  <c r="G771" i="1"/>
  <c r="G770" i="1"/>
  <c r="G760" i="1"/>
  <c r="G758" i="1"/>
  <c r="G757" i="1"/>
  <c r="G755" i="1"/>
  <c r="G753" i="1"/>
  <c r="G715" i="1"/>
  <c r="G713" i="1"/>
  <c r="G712" i="1"/>
  <c r="G711" i="1"/>
  <c r="G710" i="1"/>
  <c r="H704" i="1"/>
  <c r="G647" i="1"/>
  <c r="I646" i="1"/>
  <c r="G646" i="1"/>
  <c r="G645" i="1"/>
  <c r="G644" i="1"/>
  <c r="H637" i="1"/>
  <c r="H636" i="1"/>
  <c r="G631" i="1"/>
  <c r="G630" i="1"/>
  <c r="H627" i="1"/>
  <c r="H626" i="1"/>
  <c r="G624" i="1"/>
  <c r="G622" i="1"/>
  <c r="H615" i="1"/>
  <c r="H614" i="1"/>
  <c r="H601" i="1"/>
  <c r="G600" i="1"/>
  <c r="G599" i="1"/>
  <c r="G598" i="1"/>
  <c r="G597" i="1"/>
  <c r="G596" i="1"/>
  <c r="H591" i="1"/>
  <c r="H590" i="1"/>
  <c r="H589" i="1"/>
  <c r="G578" i="1"/>
  <c r="G577" i="1"/>
  <c r="H573" i="1"/>
  <c r="H572" i="1"/>
  <c r="H571" i="1"/>
  <c r="H570" i="1"/>
  <c r="G567" i="1"/>
  <c r="G560" i="1"/>
  <c r="G559" i="1"/>
  <c r="H554" i="1"/>
  <c r="H553" i="1"/>
  <c r="H552" i="1"/>
  <c r="G545" i="1"/>
  <c r="G543" i="1"/>
  <c r="G542" i="1"/>
  <c r="H536" i="1"/>
  <c r="H535" i="1"/>
  <c r="G533" i="1"/>
  <c r="G532" i="1"/>
  <c r="G531" i="1"/>
  <c r="G530" i="1"/>
  <c r="G529" i="1"/>
  <c r="H499" i="1"/>
  <c r="H498" i="1"/>
  <c r="H497" i="1"/>
  <c r="H484" i="1"/>
  <c r="H483" i="1"/>
  <c r="G479" i="1"/>
  <c r="G478" i="1"/>
  <c r="G477" i="1"/>
  <c r="G476" i="1"/>
  <c r="G475" i="1"/>
  <c r="H470" i="1"/>
  <c r="H469" i="1"/>
  <c r="H468" i="1"/>
  <c r="H467" i="1"/>
  <c r="G466" i="1"/>
  <c r="G453" i="1"/>
  <c r="G452" i="1"/>
  <c r="G448" i="1"/>
  <c r="H428" i="1"/>
  <c r="H427" i="1"/>
  <c r="G423" i="1"/>
  <c r="G422" i="1"/>
  <c r="H396" i="1"/>
  <c r="H395" i="1"/>
  <c r="H394" i="1"/>
  <c r="H393" i="1"/>
  <c r="H392" i="1"/>
  <c r="H391" i="1"/>
  <c r="H390" i="1"/>
  <c r="H389" i="1"/>
  <c r="H388" i="1"/>
  <c r="H387" i="1"/>
  <c r="H386" i="1"/>
  <c r="H385" i="1"/>
  <c r="H384" i="1"/>
  <c r="H383" i="1"/>
  <c r="G382" i="1"/>
  <c r="G380" i="1"/>
  <c r="G378" i="1"/>
  <c r="H372" i="1"/>
  <c r="H371" i="1"/>
  <c r="H370" i="1"/>
  <c r="G369" i="1"/>
  <c r="G368" i="1"/>
  <c r="G367" i="1"/>
  <c r="G362" i="1"/>
  <c r="G361" i="1"/>
  <c r="G360" i="1"/>
  <c r="G359" i="1"/>
  <c r="H355" i="1"/>
  <c r="G347" i="1"/>
  <c r="G345" i="1"/>
  <c r="G344" i="1"/>
  <c r="H341" i="1"/>
  <c r="H340" i="1"/>
  <c r="H339" i="1"/>
  <c r="H338" i="1"/>
  <c r="H337" i="1"/>
  <c r="H335" i="1"/>
  <c r="G334" i="1"/>
  <c r="G333" i="1"/>
  <c r="G332" i="1"/>
  <c r="G331" i="1"/>
  <c r="G330" i="1"/>
  <c r="G329" i="1"/>
  <c r="G328" i="1"/>
  <c r="G327" i="1"/>
  <c r="G326" i="1"/>
  <c r="H324" i="1"/>
  <c r="H323" i="1"/>
  <c r="H322" i="1"/>
  <c r="H321" i="1"/>
  <c r="H320" i="1"/>
  <c r="H318" i="1"/>
  <c r="H317" i="1"/>
  <c r="H316" i="1"/>
  <c r="G315" i="1"/>
  <c r="G313" i="1"/>
  <c r="G308" i="1"/>
  <c r="G307" i="1"/>
  <c r="G306" i="1"/>
  <c r="G305" i="1"/>
  <c r="H301" i="1"/>
  <c r="H300" i="1"/>
  <c r="H299" i="1"/>
  <c r="H298" i="1"/>
  <c r="G296" i="1"/>
  <c r="G294" i="1"/>
  <c r="G292" i="1"/>
  <c r="G291" i="1"/>
  <c r="G290" i="1"/>
  <c r="G289" i="1"/>
  <c r="G288" i="1"/>
  <c r="G287" i="1"/>
  <c r="G286" i="1"/>
  <c r="G266" i="1"/>
  <c r="G262" i="1"/>
  <c r="H206" i="1"/>
  <c r="H205" i="1"/>
  <c r="H204" i="1"/>
  <c r="G202" i="1"/>
  <c r="G201" i="1"/>
  <c r="G200" i="1"/>
  <c r="G199" i="1"/>
  <c r="G198" i="1"/>
  <c r="G197" i="1"/>
  <c r="H193" i="1"/>
  <c r="H192" i="1"/>
  <c r="H191" i="1"/>
  <c r="G190" i="1"/>
  <c r="G183" i="1"/>
  <c r="G182" i="1"/>
  <c r="H175" i="1"/>
  <c r="H174" i="1"/>
  <c r="H173" i="1"/>
  <c r="H172" i="1"/>
  <c r="G170" i="1"/>
  <c r="G167" i="1"/>
  <c r="G165" i="1"/>
  <c r="G164" i="1"/>
  <c r="H160" i="1"/>
  <c r="H159" i="1"/>
  <c r="H158" i="1"/>
  <c r="G154" i="1"/>
  <c r="H128" i="1"/>
  <c r="H127" i="1"/>
  <c r="G121" i="1"/>
  <c r="G120" i="1"/>
  <c r="H99" i="1"/>
  <c r="H98" i="1"/>
  <c r="H97" i="1"/>
  <c r="H96" i="1"/>
  <c r="H95" i="1"/>
  <c r="G93" i="1"/>
  <c r="G92" i="1"/>
  <c r="G91" i="1"/>
  <c r="G90" i="1"/>
  <c r="G88" i="1"/>
  <c r="I81" i="1"/>
  <c r="G80" i="1"/>
  <c r="I77" i="1"/>
  <c r="H68" i="1"/>
  <c r="G62" i="1"/>
  <c r="G59" i="1"/>
  <c r="G58" i="1"/>
  <c r="G57" i="1"/>
  <c r="H51" i="1"/>
  <c r="H50" i="1"/>
  <c r="G49" i="1"/>
  <c r="G47" i="1"/>
  <c r="G43" i="1"/>
  <c r="H33" i="1"/>
  <c r="G29" i="1"/>
  <c r="G27" i="1"/>
  <c r="G26" i="1"/>
  <c r="G25" i="1"/>
  <c r="G24" i="1"/>
  <c r="G23" i="1"/>
  <c r="H18" i="1"/>
  <c r="H17" i="1"/>
  <c r="H16" i="1"/>
  <c r="G15" i="1"/>
  <c r="G13" i="1"/>
  <c r="G11" i="1"/>
  <c r="G6" i="1"/>
  <c r="G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tc={785C8761-3036-425F-BB63-F51CF307637A}</author>
    <author>tc={6FE3C214-8937-4C31-8D77-4EA41A59E5AB}</author>
    <author>tc={4D078493-BE61-4B05-AFDC-3206E7994E2B}</author>
  </authors>
  <commentList>
    <comment ref="F2" authorId="0" shapeId="0" xr:uid="{785C8761-3036-425F-BB63-F51CF307637A}">
      <text>
        <t>[Trådet kommentar]
Din version af Excel lader dig læse denne trådede kommentar. Eventuelle ændringer vil dog blive fjernet, hvis filen åbnes i en nyere version af Excel. Få mere at vide: https://go.microsoft.com/fwlink/?linkid=870924
Kommentar:
    Måske skal den hedde 'Inden madlavningen' - det er nok mere retvisende.</t>
      </text>
    </comment>
    <comment ref="F134" authorId="1" shapeId="0" xr:uid="{6FE3C214-8937-4C31-8D77-4EA41A59E5AB}">
      <text>
        <t>[Trådet kommentar]
Din version af Excel lader dig læse denne trådede kommentar. Eventuelle ændringer vil dog blive fjernet, hvis filen åbnes i en nyere version af Excel. Få mere at vide: https://go.microsoft.com/fwlink/?linkid=870924
Kommentar:
    Den bør vi vist rykke til oktober/nov.</t>
      </text>
    </comment>
    <comment ref="D642" authorId="2" shapeId="0" xr:uid="{4D078493-BE61-4B05-AFDC-3206E7994E2B}">
      <text>
        <t>[Trådet kommentar]
Din version af Excel lader dig læse denne trådede kommentar. Eventuelle ændringer vil dog blive fjernet, hvis filen åbnes i en nyere version af Excel. Få mere at vide: https://go.microsoft.com/fwlink/?linkid=870924
Kommentar:
    Er nødt til at ændre navn til 'Verdensmad', da der ikke er plads til hele dette navn på skillelinjen på web.</t>
      </text>
    </comment>
  </commentList>
</comments>
</file>

<file path=xl/sharedStrings.xml><?xml version="1.0" encoding="utf-8"?>
<sst xmlns="http://schemas.openxmlformats.org/spreadsheetml/2006/main" count="1150" uniqueCount="678">
  <si>
    <t>Måned</t>
  </si>
  <si>
    <t>Klassetrin</t>
  </si>
  <si>
    <t>Forløb</t>
  </si>
  <si>
    <t>Antal lektioner</t>
  </si>
  <si>
    <t xml:space="preserve">Materialer </t>
  </si>
  <si>
    <t>Film</t>
  </si>
  <si>
    <t xml:space="preserve">Opskrifter </t>
  </si>
  <si>
    <t>Læringsmål</t>
  </si>
  <si>
    <t xml:space="preserve">Gode råd </t>
  </si>
  <si>
    <t>Færdigheds- og vidensmål</t>
  </si>
  <si>
    <t>Faser</t>
  </si>
  <si>
    <t xml:space="preserve">August </t>
  </si>
  <si>
    <t>4./5./6./7.</t>
  </si>
  <si>
    <t>Velkommen i køkkenet</t>
  </si>
  <si>
    <t>Inden køkkenet</t>
  </si>
  <si>
    <t>Teorilektioner: 2-4</t>
  </si>
  <si>
    <t xml:space="preserve">Eleven kan de basale hygiejneregler. </t>
  </si>
  <si>
    <t xml:space="preserve">Gennemgå hygiejnereglerne samt reglerne for færden i køkkenet med eleverne. </t>
  </si>
  <si>
    <t>Eleven kan anvende almindelige hygiejneprincipper i madlavning.</t>
  </si>
  <si>
    <t>Håndklæder, karklude og viskestykker s.5</t>
  </si>
  <si>
    <t>Hold køkken og hænder rene s.6</t>
  </si>
  <si>
    <t>Opvask og oprydning s.7</t>
  </si>
  <si>
    <t>Opskrifter, forkortelser og måleenheder s.9-10</t>
  </si>
  <si>
    <t>Eleven har lært at vaske op og rydde op i madkundskabs-lokalet.</t>
  </si>
  <si>
    <t xml:space="preserve">Eleven har viden om hygiejne-, opbevarings og konserveringsprincipper. </t>
  </si>
  <si>
    <t>GoCook-Økologi eller hvad?</t>
  </si>
  <si>
    <t xml:space="preserve">Eleven kan efter forløbet arbejde ud fra en opskrift, og kender til mængder, forkortelser og måleenheder. </t>
  </si>
  <si>
    <t>Køkkentræningslejr s.27</t>
  </si>
  <si>
    <t xml:space="preserve">Praksislektioner: 2-4 </t>
  </si>
  <si>
    <t xml:space="preserve">Opskrifter der er linket til svarer til normale portioner. En opskrift til 4 personer kan derfor godt deles i 8 små portioner. </t>
  </si>
  <si>
    <t>Hygiejne</t>
  </si>
  <si>
    <t>Eleven har lært om personlig hygiejne i køkkenet.</t>
  </si>
  <si>
    <t xml:space="preserve">Eleven kan vurdere mads holdbarhed. </t>
  </si>
  <si>
    <t>Vask hænder s.6</t>
  </si>
  <si>
    <t xml:space="preserve">Eleven har viden om mikroorganismer. </t>
  </si>
  <si>
    <t>Køkken-work-out s.8</t>
  </si>
  <si>
    <t xml:space="preserve">Eleven kan sætte en køkkenstation op i køkkenet. </t>
  </si>
  <si>
    <t>Bordskraldespand s.8</t>
  </si>
  <si>
    <t>Fisk og hygiejne s.68</t>
  </si>
  <si>
    <t>Fjerkræ og hygiejne s.75</t>
  </si>
  <si>
    <t>Æg og hygiejne s.83</t>
  </si>
  <si>
    <t>Kød og hygiejne s.91</t>
  </si>
  <si>
    <t>Praksislektioner: 1-2</t>
  </si>
  <si>
    <t>Opskrifter der er linket til svarer til normale portioner. En opskrift til 4 personer kan derfor godt deles i 8 små portioner.</t>
  </si>
  <si>
    <t>Køkkenteknikker</t>
  </si>
  <si>
    <t>Eleven har lært om køkkenteknikker.</t>
  </si>
  <si>
    <t>Eleven har viden om sund mad og madlavning.</t>
  </si>
  <si>
    <t>Hvad smager maden egentlig af? s.19</t>
  </si>
  <si>
    <t>De 5 grundsmage s.19</t>
  </si>
  <si>
    <t>Den stærke smag s.21</t>
  </si>
  <si>
    <t>Eleven kan fortælle om de fem grundsmage.</t>
  </si>
  <si>
    <t>Smag din mad til s.20</t>
  </si>
  <si>
    <t>Sanserne s.22-23</t>
  </si>
  <si>
    <t xml:space="preserve">GoCook-Til verdens ende </t>
  </si>
  <si>
    <t xml:space="preserve">Har eleven lært om krydderiers anvendelse. </t>
  </si>
  <si>
    <t>Bag om krydderierne s.6</t>
  </si>
  <si>
    <t>Hvad bruger man krydderirerne til? s.6</t>
  </si>
  <si>
    <t>Gå i træningslejr med smagen s.8</t>
  </si>
  <si>
    <t xml:space="preserve">Praksislektioner: 1-2 </t>
  </si>
  <si>
    <t>Tilberedningsteknikker</t>
  </si>
  <si>
    <t>Eleven har lært om forskellige fødevares tilberedningsteknikker.</t>
  </si>
  <si>
    <t xml:space="preserve">Tal med eleverne om forskellige tilberedningsmetoder, og hvilke de kender til, og hvilke de har prøvet før. Tag gerne udgangspunkt i dette forløbs fødevare. </t>
  </si>
  <si>
    <t xml:space="preserve">Eleven kan omsætte viden om sund mad i madlavning. </t>
  </si>
  <si>
    <t>Hvordan tilberedes kartofler? s.27</t>
  </si>
  <si>
    <t>Hvordan tilberedes grøntsager? s.35</t>
  </si>
  <si>
    <t xml:space="preserve">Eleven har viden om sund mad og madlavning. </t>
  </si>
  <si>
    <t>Hvordan tilberedes frugt og nødder? s.43</t>
  </si>
  <si>
    <t>Hvordan laver man ost? s.60</t>
  </si>
  <si>
    <t>Eleven kan fortælle om hvordan man kan tilberede forskellige fødevarer.</t>
  </si>
  <si>
    <t>Hvordan bruger man mælkeprodukter? s.61</t>
  </si>
  <si>
    <t xml:space="preserve">Hvordan tilberedes fisk og skaldyr? s.69 </t>
  </si>
  <si>
    <t>Hvordan tilberedes fjerkræ? s.76-77</t>
  </si>
  <si>
    <t>Hvordan tilberedes æg? s.84-85</t>
  </si>
  <si>
    <t>Hvordan tilberedes kød? s.91</t>
  </si>
  <si>
    <t>Hvordan tilberedes fedtstoffer? s.99</t>
  </si>
  <si>
    <t>September</t>
  </si>
  <si>
    <t>Madpakken &amp; Madpyramiden</t>
  </si>
  <si>
    <t xml:space="preserve">Madpyramiden </t>
  </si>
  <si>
    <t>Teorilektioner: 1-2</t>
  </si>
  <si>
    <t>GoCook-Spis sundt med madpyramiden</t>
  </si>
  <si>
    <t>Eleven har lært at bruge madpyramiden.</t>
  </si>
  <si>
    <t>Forløbet er teoretisk, og derfor er der ikke linket til opskrifter. Tjek GoCook opskfiterne ud på følgende link:</t>
  </si>
  <si>
    <t>Eleven kan anvende kostanbefalinger til madlavning og måltidssammensætning.</t>
  </si>
  <si>
    <t>Madpyramidens tre lag s.2</t>
  </si>
  <si>
    <t>Madpyramidens grupper s.3</t>
  </si>
  <si>
    <t>Madpyramiden har to spor s.5</t>
  </si>
  <si>
    <t xml:space="preserve">Eleven kan fortælle om de tre lag i madpyramiden. </t>
  </si>
  <si>
    <t>Spor 1 s.5</t>
  </si>
  <si>
    <t xml:space="preserve">Eleven har viden om kostanbefalinger og deres grundlag. </t>
  </si>
  <si>
    <t>Spor 2 s.8</t>
  </si>
  <si>
    <t>Sæt eleverne til at spille Madpyramidespillet</t>
  </si>
  <si>
    <t>Hvordan spiser du efter madpyramiden? s.13</t>
  </si>
  <si>
    <t>Fødevaregrupper i madpyramiden s.14</t>
  </si>
  <si>
    <t xml:space="preserve">Praksislektioner: </t>
  </si>
  <si>
    <t>Madpakken</t>
  </si>
  <si>
    <t xml:space="preserve">GoCook-Madpakke makeover </t>
  </si>
  <si>
    <t xml:space="preserve">Eleven kan lave en sund og næringsrig madpakke. </t>
  </si>
  <si>
    <t>Madordninger og måltidsmærket s.10</t>
  </si>
  <si>
    <t>Madpakke - labratoriet s.12-13</t>
  </si>
  <si>
    <t>Hvor får du din energi fra? s.14-17</t>
  </si>
  <si>
    <t>Candyland - fuckr med din hjerne s.18-21</t>
  </si>
  <si>
    <t>GoCook-Madpakker!</t>
  </si>
  <si>
    <t>Den sunde madpakke s.4-5</t>
  </si>
  <si>
    <t>Madpakker og madpyramiden s.6</t>
  </si>
  <si>
    <t>Praksislektioner: 2-4</t>
  </si>
  <si>
    <t>Næringsstoffer</t>
  </si>
  <si>
    <t xml:space="preserve">Eleven kan skelne mellem de forskellige fødevaregrupper i madpyramiden. </t>
  </si>
  <si>
    <t xml:space="preserve">Eleven kan tage hensyn til råvares fysisk-kemiske egenskaber.  </t>
  </si>
  <si>
    <t>Se efter nøglehullet s. 13</t>
  </si>
  <si>
    <t>Fødevaregrupperne i madpyramiden s.14</t>
  </si>
  <si>
    <t>Fødevarer der indeholder energi s.14</t>
  </si>
  <si>
    <t xml:space="preserve">Eleven har viden om råvaregruppers fysisk-kemiske egenskaber. </t>
  </si>
  <si>
    <t>Kulhydrater (Stivelse, kostfibre og sukker) s.15</t>
  </si>
  <si>
    <t xml:space="preserve">Eleven kan fortælle om begrebet energi i forhold til forskellige fødevare. </t>
  </si>
  <si>
    <t>Protein s.15</t>
  </si>
  <si>
    <t>Fedt (mættede og umættede) s.16</t>
  </si>
  <si>
    <t>Vitaminer (fedtopløselige og vandopløselige) s.16</t>
  </si>
  <si>
    <t>Mineraler s.17</t>
  </si>
  <si>
    <t>Næredeklarationer s.17</t>
  </si>
  <si>
    <t xml:space="preserve">Økologi </t>
  </si>
  <si>
    <t xml:space="preserve">Eleven kan fortælle om økologi. </t>
  </si>
  <si>
    <t xml:space="preserve">Eleven kan aflæse madvaredeklarationer og fødevaremærkninger. </t>
  </si>
  <si>
    <t>En tur på bondegård s.5</t>
  </si>
  <si>
    <t>Hvad er økologi? s.6-7</t>
  </si>
  <si>
    <t>Eleven har lært om Ø-mærket.</t>
  </si>
  <si>
    <t>Kender du Ø-mærket? s.7</t>
  </si>
  <si>
    <t>Køber I økologiske varer? s.8-9</t>
  </si>
  <si>
    <t>Økologiens historietime s.10</t>
  </si>
  <si>
    <t>Hvorfor er økologiske varer dyrere? s.20-21</t>
  </si>
  <si>
    <t>Er økologi sundere for naturen? s.26</t>
  </si>
  <si>
    <t>Smagekassen</t>
  </si>
  <si>
    <t xml:space="preserve">Teorilektioner: </t>
  </si>
  <si>
    <t xml:space="preserve">GoCook-Smagekassen </t>
  </si>
  <si>
    <t>Bæredygtighed s.</t>
  </si>
  <si>
    <t>Råvarekendskab og æblets fysik og kemi s.</t>
  </si>
  <si>
    <t>Sundhed s.</t>
  </si>
  <si>
    <t>Madkultur s.</t>
  </si>
  <si>
    <t>Madlavningsteknikker s.</t>
  </si>
  <si>
    <t>Åben skole s.</t>
  </si>
  <si>
    <t>Praksislektioner:</t>
  </si>
  <si>
    <t xml:space="preserve">Oktober </t>
  </si>
  <si>
    <t>Grøntsager</t>
  </si>
  <si>
    <t xml:space="preserve">Eleven har lært om begrebet sæson. </t>
  </si>
  <si>
    <t xml:space="preserve">Tal med eleverne om begrebet sæson. </t>
  </si>
  <si>
    <t xml:space="preserve">Eleven kan redegøre for almindelige råvares smag og anvendelse. </t>
  </si>
  <si>
    <t>Grøntsager s.31</t>
  </si>
  <si>
    <t>Hvad er grøntsager? s.32</t>
  </si>
  <si>
    <t xml:space="preserve">Eleven kan fortælle om hvilke grøntsager, der er i sæson i løbet af året. </t>
  </si>
  <si>
    <t xml:space="preserve">Eleverne kan alene eller i grupper finde hjemmesider, der viser hvornår forskellige fødevare er i sæson. De skal have fokus på grøntsager. </t>
  </si>
  <si>
    <t>Hvad betyder det når grøntsager er i sæson? s.33</t>
  </si>
  <si>
    <t xml:space="preserve">Eleven har viden om råvaregruppers smag og anvendelse. </t>
  </si>
  <si>
    <t>Hvordan opbevarer du grøntsager? s.34</t>
  </si>
  <si>
    <t>Hvordan smager grøntsager? s.34</t>
  </si>
  <si>
    <t>Hvordan tilbereder du grøntsager? s.35</t>
  </si>
  <si>
    <t>Hvordan spiser du grøntsager? s.35</t>
  </si>
  <si>
    <t xml:space="preserve">Eleven kan lave mad ud fra enkle grundmetoder og teknikker. </t>
  </si>
  <si>
    <t>Eleven har viden om grundmetoder og teknikker i madlavning.</t>
  </si>
  <si>
    <t xml:space="preserve">Rodfrugter </t>
  </si>
  <si>
    <t xml:space="preserve">GoCook-Danske rødder og grove knolde </t>
  </si>
  <si>
    <t xml:space="preserve">Eleven har lært om rodfrugters anvendelse. </t>
  </si>
  <si>
    <t xml:space="preserve">Tal med eleverne om, hvad rodfrugter er. Spørg eleverne I hvilke retter, de bruger rodfrugter. </t>
  </si>
  <si>
    <t>Rodfrugter er grøntsager s.2</t>
  </si>
  <si>
    <t>Sådan kan du opbevare rodfrugter s.2</t>
  </si>
  <si>
    <t>Da rødderne kom til Danmark s.3</t>
  </si>
  <si>
    <t>Kartoflen - knolden der ikke er en rod s.3</t>
  </si>
  <si>
    <t xml:space="preserve">GoCook-Økologi eller hvad? </t>
  </si>
  <si>
    <t>Guleroddens hemmeligheder s.10-11</t>
  </si>
  <si>
    <t>Smag forskellen på rå og tilberedte gulerødder s.18-19</t>
  </si>
  <si>
    <t xml:space="preserve">Kartofler </t>
  </si>
  <si>
    <t xml:space="preserve">Eleven kan fortælle om dyrkning af kartofler, og hvad man kan bruge den til. </t>
  </si>
  <si>
    <t>Kartolfer s.24</t>
  </si>
  <si>
    <t>Kartoflens opbygning s.25</t>
  </si>
  <si>
    <t>Mange slags kartofler s.26</t>
  </si>
  <si>
    <t>Hvordan opbevares kartofler? s.26</t>
  </si>
  <si>
    <t xml:space="preserve">Eleven kan fortælle om smag og tilberedning. </t>
  </si>
  <si>
    <t>Hvordan spiser du kartofler? s.27</t>
  </si>
  <si>
    <t>Hvordan tilbereder du kartofler? s.27</t>
  </si>
  <si>
    <t xml:space="preserve">GoCook-Livretter med kartofler </t>
  </si>
  <si>
    <t>Kartoflen - den fantastiske knold s.8</t>
  </si>
  <si>
    <t>Dyrkning af kartofler s.9</t>
  </si>
  <si>
    <t>Forbrug af kartoflen s.10</t>
  </si>
  <si>
    <t xml:space="preserve">Eleven kan lave mad efter en opskrift. </t>
  </si>
  <si>
    <t>Den sunde kartoffel s.11</t>
  </si>
  <si>
    <t>Kartoflens smag og tilberedning s.11</t>
  </si>
  <si>
    <t>Eleven har viden om køkkenredskaber, arbejdsprocesser samt fagord og begreber i en opskrift.</t>
  </si>
  <si>
    <t>Kartoflen i måltidet s.12</t>
  </si>
  <si>
    <t>Kål</t>
  </si>
  <si>
    <t>GoCook-Røde kål og andre hoveder</t>
  </si>
  <si>
    <t xml:space="preserve">Eleven har lært om kål. </t>
  </si>
  <si>
    <t>I dette forløb er der ikke så meget læsestof, så eleverne kan fordybe sig i metodevideoerne og opskrifterne.</t>
  </si>
  <si>
    <t>Kål er en grøntsag s.2</t>
  </si>
  <si>
    <t xml:space="preserve">Eleven kan fortælle om kål, og hvordan det kan bruges i madlavning. </t>
  </si>
  <si>
    <t>Kål hele året s.3</t>
  </si>
  <si>
    <t>Kålretter s.4</t>
  </si>
  <si>
    <t>Kålen er i bunden af madpyramiden s.4</t>
  </si>
  <si>
    <t>Kål på mange måder s.4-5</t>
  </si>
  <si>
    <t>Din egen kålsalat s.6</t>
  </si>
  <si>
    <t>"Wokket" kål og æble i mild karrycreme s.7</t>
  </si>
  <si>
    <t>November</t>
  </si>
  <si>
    <t>Sensorik i køkkenet</t>
  </si>
  <si>
    <t>Grundsmage og sanser</t>
  </si>
  <si>
    <t xml:space="preserve">Eleven har lært om de fem grundsmage. </t>
  </si>
  <si>
    <t xml:space="preserve">Dette forløb kan bruges til en enkelt undervisningsgang, hvor eleverne skal læse undervisningsmaterialet, og hvor de skal se tilhørende videoer. </t>
  </si>
  <si>
    <t>Grundsmage og sanser s.18</t>
  </si>
  <si>
    <t>Eleven kan forklare hvordan maden smager</t>
  </si>
  <si>
    <t xml:space="preserve">Den stærke smag s.21 </t>
  </si>
  <si>
    <t>Men hvad med de andre sanser s.22-23</t>
  </si>
  <si>
    <t xml:space="preserve">Forløbet kan også kobles på de andre forløb i denne måned. </t>
  </si>
  <si>
    <t xml:space="preserve">Alternativt kan eleverne sammensætte deres eget måltid ud fra de fem grundsmage og med fokus på sanserne. Opdel eleverne i grupper og giv hver gruppe en sans og de fem grundsmage. </t>
  </si>
  <si>
    <t>Krydderier</t>
  </si>
  <si>
    <t xml:space="preserve">Eleven har lært om krydderier fra forskellige lande. </t>
  </si>
  <si>
    <t xml:space="preserve">Forløbet består af meget læsestof, derfor er der links, som passer til teksterne. </t>
  </si>
  <si>
    <t>Hvorfor smager noget stærkt? s.9</t>
  </si>
  <si>
    <t>Film 5: Mikkel smager på chili og friske nelikker s.9</t>
  </si>
  <si>
    <t xml:space="preserve">Eleven kan forklare hvordan de forskellige krydderier smager og dufter. </t>
  </si>
  <si>
    <t>Skema 2: Krydderier der brænder i munden s.9</t>
  </si>
  <si>
    <t xml:space="preserve">Giv eleverne mulighed for at smage på forskellige krydderier, og lav eventuelt en sensorisk øvelse med dem. Sæt 3-5 krydderier op, få dem til at dufte og smage på dem. Få eleverne til at sætte ord på duft og smag. </t>
  </si>
  <si>
    <t>Om karrypasta s.10</t>
  </si>
  <si>
    <t>Om peber s.11</t>
  </si>
  <si>
    <t>Om ingefær s.13</t>
  </si>
  <si>
    <t>Thailandsk green curry s.16</t>
  </si>
  <si>
    <t xml:space="preserve">Eleven kan skelne mellem forskellige grundsmage, konsistens og aroma. </t>
  </si>
  <si>
    <t>Om kanel s.17</t>
  </si>
  <si>
    <t>Om neliker s.18</t>
  </si>
  <si>
    <t>Om chili s.20</t>
  </si>
  <si>
    <t>Eleven har viden om grundsmage, konsistens og aroma.</t>
  </si>
  <si>
    <t>Om koriander s.21</t>
  </si>
  <si>
    <t xml:space="preserve">Græskar </t>
  </si>
  <si>
    <t>Teorilektioner: 4-6</t>
  </si>
  <si>
    <t>GoCook i Græskar</t>
  </si>
  <si>
    <t xml:space="preserve">Eleven har lært om græskar, og hvordan de bliver dyrket. </t>
  </si>
  <si>
    <t xml:space="preserve">Dette forløb handler om græskar og halloween. </t>
  </si>
  <si>
    <t>Eleven kan vurdere fødevares kvalitet.</t>
  </si>
  <si>
    <t>Geniale græskar s.4-5</t>
  </si>
  <si>
    <t>Græskar-Challenge s.7</t>
  </si>
  <si>
    <t xml:space="preserve">Forløbet indeholder opskrifter med græskar og halloweenopskrifter. </t>
  </si>
  <si>
    <t>Hvor kommer græskarret fra? s.8</t>
  </si>
  <si>
    <t xml:space="preserve">Eleven kan fortælle om forskellige græskarsorter. </t>
  </si>
  <si>
    <t>Giga Græskar-Geni s.8</t>
  </si>
  <si>
    <t>Græskarsorter s.9</t>
  </si>
  <si>
    <t xml:space="preserve">Hokkaido-Græskarret s.10 </t>
  </si>
  <si>
    <t>Sådan opbevarer du græskar s.11</t>
  </si>
  <si>
    <t>Hvad er der i græskarret? s.11</t>
  </si>
  <si>
    <t>Hvad kan du lave med græskar? s.12</t>
  </si>
  <si>
    <t>Køkken-tricks i kokkeskolen s.13</t>
  </si>
  <si>
    <t>Praksislektioner: 4-6</t>
  </si>
  <si>
    <t xml:space="preserve">December </t>
  </si>
  <si>
    <t>Bagværk &amp; Julebag</t>
  </si>
  <si>
    <t>Bagværk</t>
  </si>
  <si>
    <t xml:space="preserve">Eleven kan vurdere om et brød er gennembagt. </t>
  </si>
  <si>
    <t xml:space="preserve">Dette forløb indeholder primært små film, det er derfor en god idé at sætte dem på i klassen. Derved får eleverne en fælles forståelse for emnet. </t>
  </si>
  <si>
    <t>Eleven kan kombinere grundmetoder og teknikker i madlavning.</t>
  </si>
  <si>
    <t>Brød s.51</t>
  </si>
  <si>
    <t>Kage s.52</t>
  </si>
  <si>
    <t>Eleven kan fortælle om forskellen på en gærdej og en mørdej.</t>
  </si>
  <si>
    <t>Eleven har viden om kombinationsmuligheder mellem grundmetoder og teknikker i madlavning.</t>
  </si>
  <si>
    <t>Eleven kan lave mad under hensyntagen til fysisk-kemiske processer.</t>
  </si>
  <si>
    <t>Eleven har viden om madlavnings grundlæggende fysik og kemi.</t>
  </si>
  <si>
    <t xml:space="preserve">Meltyper </t>
  </si>
  <si>
    <t xml:space="preserve">Eleverne kan fortælle om meltyper. </t>
  </si>
  <si>
    <t>Hvad er korn? s.49</t>
  </si>
  <si>
    <t>Gryn s.49</t>
  </si>
  <si>
    <t>Eleverne har lært hvad mel kan bruges til.</t>
  </si>
  <si>
    <t>Mel s.50</t>
  </si>
  <si>
    <t>Sådan opbevarer du fødevarer med korn s-53</t>
  </si>
  <si>
    <t>Hvordan spiser du korn? s.53</t>
  </si>
  <si>
    <t>Kornets vej fra jord til bord s.15-16</t>
  </si>
  <si>
    <t>Æg</t>
  </si>
  <si>
    <t xml:space="preserve">Eleverne kan fortælle om forskellige typer æg. </t>
  </si>
  <si>
    <t xml:space="preserve">Tjek holdbarheden og tal med eleverne om bedst før, og hvordan man skal forstå det. </t>
  </si>
  <si>
    <t>Æg s.81</t>
  </si>
  <si>
    <t>Hvad er æg? s.82</t>
  </si>
  <si>
    <t>Eleverne har lært om hygiejne og opbevaring af æg.</t>
  </si>
  <si>
    <t>Forskellige typer af æg s.83</t>
  </si>
  <si>
    <t>Hvordan opbevarer du æg? s.83</t>
  </si>
  <si>
    <t>Hvad smager ægget af? s.84</t>
  </si>
  <si>
    <t>Hvad bruger du ægget til? s.84-85</t>
  </si>
  <si>
    <t>Julebag</t>
  </si>
  <si>
    <t xml:space="preserve">GoCook i julen </t>
  </si>
  <si>
    <t xml:space="preserve">Eleven kan fortælle om traditionelle julekager. </t>
  </si>
  <si>
    <t>Brug tiden i køkkenet, og giv eleverne mulighed for at udfolde deres kokkeevner indenfor julebag</t>
  </si>
  <si>
    <t xml:space="preserve">Eleven kan opbygge måltider til særlige anledninger. </t>
  </si>
  <si>
    <t>Pebernødder s.2</t>
  </si>
  <si>
    <t>Vaniljekranse s.5</t>
  </si>
  <si>
    <t xml:space="preserve">Eleven kan bage forskellige julekager. </t>
  </si>
  <si>
    <t>Eleven har viden om måltidsanledninger.</t>
  </si>
  <si>
    <t>1 grunddej - 3 småkager</t>
  </si>
  <si>
    <t>Æbleskiver s.16</t>
  </si>
  <si>
    <t>Æblegløgg s.19</t>
  </si>
  <si>
    <t>Luciaboller s.20</t>
  </si>
  <si>
    <t>Januar</t>
  </si>
  <si>
    <t>Råvaregrupper</t>
  </si>
  <si>
    <t xml:space="preserve">Krydderier og krydderurter </t>
  </si>
  <si>
    <t xml:space="preserve">Eleven kan fortælle om krydderier og krydderurter. </t>
  </si>
  <si>
    <t>Hvad bruger man krydderier til? s.6</t>
  </si>
  <si>
    <t>Hvad spiser vi i Danmark s.29</t>
  </si>
  <si>
    <t>Fedtstoffer</t>
  </si>
  <si>
    <t xml:space="preserve">Eleven har lært om fedtstoffer. </t>
  </si>
  <si>
    <t xml:space="preserve">For at give eleverne en god forståelse for fedtstoffer, er det en god idé at vise dem forskellige eksempler på dette. </t>
  </si>
  <si>
    <t>Fedt s.16</t>
  </si>
  <si>
    <t>Fedtstoffer s.96</t>
  </si>
  <si>
    <t xml:space="preserve">Eleven kan fortælle om hvad der er synligt og skjult fedt. </t>
  </si>
  <si>
    <t>Hvad er fedtstoffer? s.97</t>
  </si>
  <si>
    <t>Synligt og skjult fedt s.98</t>
  </si>
  <si>
    <t>Hvordan opbevarer du fedtstoffer? s.98</t>
  </si>
  <si>
    <t>Fedtstoffer giver smag og konsistens s.99</t>
  </si>
  <si>
    <t>Hvordan bruger du fedtstofferne? s.99</t>
  </si>
  <si>
    <t>Kulhydrater</t>
  </si>
  <si>
    <t xml:space="preserve">Eleven kan forklare om kulhydrater. </t>
  </si>
  <si>
    <t xml:space="preserve">Se vidoerne i klassen og tal om hvilken påvirkning sukker har. </t>
  </si>
  <si>
    <t>Fødevarer indeholder energi s.14</t>
  </si>
  <si>
    <t>Kulhydrat s.15</t>
  </si>
  <si>
    <t xml:space="preserve">Eleven kan forklare om sukkers påvirkning i kroppen. </t>
  </si>
  <si>
    <t>GoCook-Madpakke makeover</t>
  </si>
  <si>
    <t>Candyland - Fuckr med din hjerne s.18</t>
  </si>
  <si>
    <t>Hvorfor er vi så vilde med sukker? s.18</t>
  </si>
  <si>
    <t>Sukker i kroppen s.20</t>
  </si>
  <si>
    <t xml:space="preserve">Mælkeprodukter </t>
  </si>
  <si>
    <t xml:space="preserve">Teorilektioner: 2-4 </t>
  </si>
  <si>
    <t xml:space="preserve">Eleven har lært om mælkeprodukter, og hvordan de produceres. </t>
  </si>
  <si>
    <t xml:space="preserve">Tjek holdbarheden på mejeriprodukterne. Introducer eleverne til begreberne "bedst før" og "sidste anvendelsesdato". </t>
  </si>
  <si>
    <t>Hvor kommer mælken fra? s. 58</t>
  </si>
  <si>
    <t>Hvad bruger vi mælken til? s. 59</t>
  </si>
  <si>
    <t>Eleven har viden om kvalitetskriterer for fødevarer.</t>
  </si>
  <si>
    <t>Hvordan opbevarer du mælkeprodukter? s.60</t>
  </si>
  <si>
    <t>Hvordan smager mælkeprodukter? s. 61</t>
  </si>
  <si>
    <t>Hvad bruger du mælkeprodukter til? s. 61</t>
  </si>
  <si>
    <t>Februar</t>
  </si>
  <si>
    <t xml:space="preserve">Kød </t>
  </si>
  <si>
    <t>Eleven kan efter forløbet hygiejnereglerne i madkundskabslokalet.</t>
  </si>
  <si>
    <t xml:space="preserve">Anvend årstiden frugt og grønt, og køb råvare efter sæson. </t>
  </si>
  <si>
    <t>Hold køkken og hænder rene s. 6</t>
  </si>
  <si>
    <t>Opvask og oprydning s. 7</t>
  </si>
  <si>
    <t xml:space="preserve">Køkken-work-out s. 8 </t>
  </si>
  <si>
    <t xml:space="preserve">Mad der er mærket med "sidste anvendelsesdato" er oftest kød - både fersk kød og kødpålæg. </t>
  </si>
  <si>
    <t>Bordskraldespand s. 8</t>
  </si>
  <si>
    <t>Eleven kan efter forløbet anvende måleenhederne i madkundskabslokalet.</t>
  </si>
  <si>
    <t>Eleven har viden om hygiejne-, opbevarings og konserveringsprincipper.</t>
  </si>
  <si>
    <t>Kød og hygiejne s. 91</t>
  </si>
  <si>
    <t>Hvordan opbevarer du kød og indmad? s. 92</t>
  </si>
  <si>
    <t xml:space="preserve">Næringsstoffer </t>
  </si>
  <si>
    <t>Eleven kan fortælle om næringsstoffer.</t>
  </si>
  <si>
    <t>Synligt og skjult fedt s. 98</t>
  </si>
  <si>
    <t xml:space="preserve">Eleven har lært om nøglehulsmærket, og ved hvad det står for. </t>
  </si>
  <si>
    <t>Fødevare indeholder energi s. 14</t>
  </si>
  <si>
    <t>Hvor får du din energi fra? s. 14</t>
  </si>
  <si>
    <t>Protein s. 15</t>
  </si>
  <si>
    <t>Vitaminer s. 16</t>
  </si>
  <si>
    <t>Mineraler s. 17</t>
  </si>
  <si>
    <t xml:space="preserve">Grundsmage </t>
  </si>
  <si>
    <t xml:space="preserve">Eleven kan bruge de fem grundsmage i madlavningen. </t>
  </si>
  <si>
    <t xml:space="preserve">Eleven kan smage sin Spaghetti med kødsovs til. </t>
  </si>
  <si>
    <t>Hvordan spiser du kød og indmad? s.92</t>
  </si>
  <si>
    <t xml:space="preserve">Klima </t>
  </si>
  <si>
    <t xml:space="preserve">GoCook-Klima-Cool i køkkenet </t>
  </si>
  <si>
    <t xml:space="preserve">Eleven har lært om klima-aftryk og kan fortælle om det. </t>
  </si>
  <si>
    <t xml:space="preserve">Dette forløb indeholder lidt læsestof, skab en dialog med eleverne om klimavenlig mad. </t>
  </si>
  <si>
    <t>Umami - Smagen af kød s.8</t>
  </si>
  <si>
    <t xml:space="preserve"> CO2 - for meget af det gode s.19-20</t>
  </si>
  <si>
    <t>Madens klima-aftryk s.21</t>
  </si>
  <si>
    <t xml:space="preserve">Hav fokus på hvordan man kan erstatte kød i forskellige retter. </t>
  </si>
  <si>
    <t>Hvorfor er kød skidt for klimaet? s.21</t>
  </si>
  <si>
    <t>Kan vi undvære kød? s.24</t>
  </si>
  <si>
    <t>Undgå madspild s.34-35</t>
  </si>
  <si>
    <t xml:space="preserve">Marts </t>
  </si>
  <si>
    <t xml:space="preserve">Fjerkræ </t>
  </si>
  <si>
    <t>Hygiejne (Fjerkræ)</t>
  </si>
  <si>
    <t xml:space="preserve">Eleven kan de basale hygiejneregler i forhold til fjerkræ. </t>
  </si>
  <si>
    <t>Vis eleverne hvordan de på et skærebræt skal håndtere råt kød og tilberedt kød.</t>
  </si>
  <si>
    <t>Hold køkken og hænderne rene s. 6</t>
  </si>
  <si>
    <t>Fjerkræ og hygiejne s. 75</t>
  </si>
  <si>
    <t>Hvordan opbevarer du fjerkræ? s. 75</t>
  </si>
  <si>
    <t>Næringsstoffer (Fjerkræ)</t>
  </si>
  <si>
    <t>Eleven har lært om synligt og skjult fedt</t>
  </si>
  <si>
    <t>Eleven kan aflæse madvaredeklarationer og mærkningsordninger.</t>
  </si>
  <si>
    <t>Synligt og skjult fedt s. 4-7</t>
  </si>
  <si>
    <t>Eleven kan fortælle om nøglehulsmærket</t>
  </si>
  <si>
    <t>Eleven har viden om kvalitetskritere for fødevarer.</t>
  </si>
  <si>
    <t>Eleven kan forklare hvilke næringsstoffer man finder i fødevare.</t>
  </si>
  <si>
    <t>Grundsmage (Fjerkræ)</t>
  </si>
  <si>
    <t>Kan eleven beskrive og bruge de fem grundsmage i køkkenet.</t>
  </si>
  <si>
    <t>Hvad smager maden egentlig af? s. 19</t>
  </si>
  <si>
    <t>De 5 grundsmage s. 19</t>
  </si>
  <si>
    <t>Smag din mad til s. 20</t>
  </si>
  <si>
    <t>Hvad er fjerkræ? s. 74</t>
  </si>
  <si>
    <t>Har eleven lært hvordan man tilbereder fjerkræ.</t>
  </si>
  <si>
    <t>Hvordan smager fjerkræ? s. 75</t>
  </si>
  <si>
    <t>Hvordan tilbereder du fjerkræ? s. 76</t>
  </si>
  <si>
    <t>Forskellige typer af æg s. 83</t>
  </si>
  <si>
    <t>Har eleven lært om sanserne.</t>
  </si>
  <si>
    <t>GoCook-Til verdens ende</t>
  </si>
  <si>
    <t>Handel med krydderier s. 7</t>
  </si>
  <si>
    <t>Om karry s. 10</t>
  </si>
  <si>
    <t>Hele verdens kødbolle s. 30</t>
  </si>
  <si>
    <t>Klima (Fjerkræ)</t>
  </si>
  <si>
    <t>Har eleven fået kendskab til madpyramiden</t>
  </si>
  <si>
    <t>Eleven kan vurdere miljømæssige konsekvenser af madhåndtering.</t>
  </si>
  <si>
    <t>Madpyramiden og klimaet (Fjerkræ) s. 74</t>
  </si>
  <si>
    <t>GoCook Klima-Livretter</t>
  </si>
  <si>
    <t>Kan eleven begrebet klima-aftryk og kan bruge det i sammenhænge med fødevarer</t>
  </si>
  <si>
    <t xml:space="preserve">Eleven har viden om betydningen af madhåndtering af bæredygtighed og miljø. </t>
  </si>
  <si>
    <t>Hvorfor elsker vi kød? s. 7-8</t>
  </si>
  <si>
    <t>CO2 - For meget af det gode s. 19-20</t>
  </si>
  <si>
    <t>Hvorfor er kød skidt for klimaet? s. 21</t>
  </si>
  <si>
    <t>Madens klima-aftryk s. 21</t>
  </si>
  <si>
    <t>Dyr bruger megen plads s. 22</t>
  </si>
  <si>
    <t>Skove bliver erstattet af marker med foder s. 22</t>
  </si>
  <si>
    <t xml:space="preserve">Kan eleven arbejde ud fra  en opskrift </t>
  </si>
  <si>
    <t>Hvorfor er oksekød værre end kyllingekød s. 23</t>
  </si>
  <si>
    <t>Kan vi undvære kød? s. 24</t>
  </si>
  <si>
    <t>Undgå madspild s. 34</t>
  </si>
  <si>
    <t>Praksislektioner:  2-4</t>
  </si>
  <si>
    <t>Fisk &amp; Skaldyr</t>
  </si>
  <si>
    <t>Hygiejne (Fisk &amp; Skaldyr)</t>
  </si>
  <si>
    <t xml:space="preserve">Eleven kan de basale hygiejneregler i forhold til fisk og skaldyr. </t>
  </si>
  <si>
    <t xml:space="preserve">Tal med eleverne om hvordan man skal håndtere fisk og skaldyr, og vis dem hvordan man vurdere om det er friskt. </t>
  </si>
  <si>
    <t>Næringsstoffer (Fisk &amp; Skaldyr)</t>
  </si>
  <si>
    <t>Eleven kan fortælle om næringsstoffer i fisk og skaldyr.</t>
  </si>
  <si>
    <t xml:space="preserve">Tal med eleverne om forskellige typer fisk og skalddyr, og hvilke næringsstoffer de indeholder. </t>
  </si>
  <si>
    <t>Eleven har viden om ernæringsfaktorer og energibehov.</t>
  </si>
  <si>
    <t>Hvor får du din energi fra? s.14</t>
  </si>
  <si>
    <t>Vitaminer s.16</t>
  </si>
  <si>
    <t>Grundsmage (Fisk &amp; Skaldyr)</t>
  </si>
  <si>
    <t xml:space="preserve">Eleven kan vurdere om fisken er frisk eller råden. </t>
  </si>
  <si>
    <t>Test med eleverne om fisken er frisk eller råden.</t>
  </si>
  <si>
    <t>Eleven kan vurdere mads holdbarhed.</t>
  </si>
  <si>
    <t>Hvordan smager fisk og skaldyr? s.3-9</t>
  </si>
  <si>
    <t>Fødevaregrupperne i Madpyramiden s.14</t>
  </si>
  <si>
    <t>Eleven har viden om mikroorganismer.</t>
  </si>
  <si>
    <t>Hvad er fisk og skaldyr? s.66</t>
  </si>
  <si>
    <t>Eleven kan fortælle om forskellen på fisk og skaldyr.</t>
  </si>
  <si>
    <t>Hvordan opbevare du fisk og skaldyr? s.67</t>
  </si>
  <si>
    <t>Er fisken frisk? s.67</t>
  </si>
  <si>
    <t>Hvordan tilbereder du fisk og skaldyr? s.69</t>
  </si>
  <si>
    <t>Hvordan spiser du fisk og skaldyr? s.69</t>
  </si>
  <si>
    <t xml:space="preserve">Klima (Fisk &amp; Skaldyr) </t>
  </si>
  <si>
    <t>Eleven har lært om MSC- og ASC-mærket.</t>
  </si>
  <si>
    <t>Sæt eleverne i gang med at lave opgave 1 og 2 på side 66 i GoCook-100 % din ret.</t>
  </si>
  <si>
    <t>Madpyramiden og klima s.66</t>
  </si>
  <si>
    <t>Hvad er fisk &amp; skaldyr? (Bæredygtige fisk og skaldyr) s.66</t>
  </si>
  <si>
    <t xml:space="preserve">Eleven kan fortælle om fisk &amp; skaldyrs klima-aftryk. </t>
  </si>
  <si>
    <t>GoCook-Klima-Cool i køkkenet</t>
  </si>
  <si>
    <t>Tal med eleverne om bærdygtighed og opdrætning i forhold til fisk og skaldyr.</t>
  </si>
  <si>
    <t xml:space="preserve">Eleven kan vurdere egne madvalg i forhold til sundhed, trivsel og miljø. </t>
  </si>
  <si>
    <t>CO2-For meget af det gode s.19-20</t>
  </si>
  <si>
    <t xml:space="preserve">Eleven har viden om faktorer der påvirker madvalg, sundhed, trivsel og miljø. </t>
  </si>
  <si>
    <t>April</t>
  </si>
  <si>
    <t xml:space="preserve">Mad fra andre lande </t>
  </si>
  <si>
    <t xml:space="preserve">Verdensmad </t>
  </si>
  <si>
    <t xml:space="preserve">Eleven har lært om mad fra hele verden. </t>
  </si>
  <si>
    <t>Se de små film med eleverne.</t>
  </si>
  <si>
    <t xml:space="preserve">Eleven kan analysere måltider fra forskellige kulturer. </t>
  </si>
  <si>
    <t>Indien s.10-12</t>
  </si>
  <si>
    <t>Eleven kan fortælle om madkulturer i forskellige lande.</t>
  </si>
  <si>
    <t>Thailand s.13-15</t>
  </si>
  <si>
    <t xml:space="preserve">For at se flere film gå ind på: </t>
  </si>
  <si>
    <t>Tanzania s.17-19</t>
  </si>
  <si>
    <t xml:space="preserve">Eleven har viden om mad- og måltidskulturer. </t>
  </si>
  <si>
    <t>Mexico s.20-23</t>
  </si>
  <si>
    <t>Ungarn s.24-25</t>
  </si>
  <si>
    <t>Tyrkiet s.26</t>
  </si>
  <si>
    <t>Danmark - madkultur s.28-31</t>
  </si>
  <si>
    <t xml:space="preserve">Fastfood </t>
  </si>
  <si>
    <t xml:space="preserve">GoCook-100 % din fastfood </t>
  </si>
  <si>
    <t>Eleven har lært om fastfood, og hvad maden kan indeholde.</t>
  </si>
  <si>
    <t>Hvad er fastfood? s.3</t>
  </si>
  <si>
    <t>Vild med fastfood? s.4</t>
  </si>
  <si>
    <t>Fastfood historie s.4</t>
  </si>
  <si>
    <t>Eleven kan fortælle om fedt, sukker og salt, og hvordan kroppen arbejder med det.</t>
  </si>
  <si>
    <t>Hvor meget fastfood spiser vi? s.5</t>
  </si>
  <si>
    <t>Hvordan spiser vi fastfood? s.5</t>
  </si>
  <si>
    <t>Hvad mon maden gemmer på? s.6-7</t>
  </si>
  <si>
    <t>Hvor meget fedt, sukker og salt har kroppen brug for? s.8</t>
  </si>
  <si>
    <t>Lidt burger-historie s.9</t>
  </si>
  <si>
    <t>Du bruger dine sanser, når du spiser s.10</t>
  </si>
  <si>
    <t>Er der retter eller fødevare, du ikke kan lide? s.11</t>
  </si>
  <si>
    <t>Mad med numre s.12</t>
  </si>
  <si>
    <t>Opskrifter d.13-15</t>
  </si>
  <si>
    <t xml:space="preserve">Nordisk </t>
  </si>
  <si>
    <t xml:space="preserve">Eleven har lært om de tre nordiske fødevare. </t>
  </si>
  <si>
    <t xml:space="preserve">Brug opskrifterne som inspirration, og giv eleverne mulighed for at skabe deres egen nordiske ret. </t>
  </si>
  <si>
    <t>Eleven kan opbygge måltider til særlige anledninger.</t>
  </si>
  <si>
    <t>Eleven kan lave et måltid, der er inspirreret af det nordiske køkken.</t>
  </si>
  <si>
    <t>Stegte, bagte og kogte rodfrugter s.5-6</t>
  </si>
  <si>
    <t xml:space="preserve">GoCook-Det store æbleshow </t>
  </si>
  <si>
    <t>Danske æbler i sæson s.2-3</t>
  </si>
  <si>
    <t>Spise æbler og madæbler s.4</t>
  </si>
  <si>
    <t xml:space="preserve">Bælgfrugter </t>
  </si>
  <si>
    <t>Eleven kan fortælle om forskellige bælg-frugter.</t>
  </si>
  <si>
    <t xml:space="preserve">Tal med eleverne om fødevares transport med fokus på bælg-frugter. </t>
  </si>
  <si>
    <t>Eleven kan analysere fødevaregruppers vej fra jord til bord og til jord igen.</t>
  </si>
  <si>
    <t>Hvad er bælg-frugter? s.10-11</t>
  </si>
  <si>
    <t>Sådan gør du bælg-frugter klar til brug s.12-13</t>
  </si>
  <si>
    <t>Bælg-frugter - Den gode kammerat i maden s.14-15</t>
  </si>
  <si>
    <t xml:space="preserve">Eleven har lært om bælg-frugters klimamæssige fordele. </t>
  </si>
  <si>
    <t>Eleven har viden om fødevaregruppers bæredygtighed.</t>
  </si>
  <si>
    <t xml:space="preserve">Mikkel på jagt efter bælgfrugter i Europa s.28 </t>
  </si>
  <si>
    <t>Bælg-frugter i andre lande s.29</t>
  </si>
  <si>
    <t>England-bønner til morgenmad s.30</t>
  </si>
  <si>
    <t>Frankrig-linser til frokost s.31</t>
  </si>
  <si>
    <t>Hvorfor er puy-linser så særlige? s.31-32</t>
  </si>
  <si>
    <t>Italien-bønner til aftensmad s.33</t>
  </si>
  <si>
    <t>Maj</t>
  </si>
  <si>
    <t>Madpyramiden &amp; Klima</t>
  </si>
  <si>
    <t xml:space="preserve">Fra jord til bord </t>
  </si>
  <si>
    <t xml:space="preserve">GoCook-Økologi eller hvad?  </t>
  </si>
  <si>
    <t xml:space="preserve">Eleven har lært om Fra jord til bord, og kan fortælle hvad det betyder. </t>
  </si>
  <si>
    <t>Gulerodens hemmeligheder s.10</t>
  </si>
  <si>
    <t>Den sunde rod s.11</t>
  </si>
  <si>
    <t>Den gamle rod s.12</t>
  </si>
  <si>
    <t>Gulerodens vej fra jord til bord s.12-14</t>
  </si>
  <si>
    <t>Fra jord til bord s.16</t>
  </si>
  <si>
    <t xml:space="preserve">Eleven kan fortælle om madpyramidens klimamæssige fordele. </t>
  </si>
  <si>
    <t xml:space="preserve">Eleverne skal læse teksterne, derefter skal de i klassen diskutere, hvordan man kan bruge madpyramiden i hverdagen. Derudover skal de komme med bud på, hvordan man kan gøre retter mere klimavenlige. </t>
  </si>
  <si>
    <t>Madpyramiden s.13</t>
  </si>
  <si>
    <t>Madpyramiden og klima s.14</t>
  </si>
  <si>
    <t xml:space="preserve">Madpyramiden og måltiderne s. 10 </t>
  </si>
  <si>
    <t>Spor 2: Grøntsager og frugt s.8-9</t>
  </si>
  <si>
    <t>Eleven kan vurdere egne madvalg i forhold til sundhed, trivsel og miljø.</t>
  </si>
  <si>
    <t>Frugt &amp; Nødder</t>
  </si>
  <si>
    <t>Eleven har lært om frugter i sæson.</t>
  </si>
  <si>
    <t>Frugt og nødder s.39</t>
  </si>
  <si>
    <t>Hvad er frugt og nødder? s.40</t>
  </si>
  <si>
    <t>Eleven har lært om nødder, og hvad man kan brug dem til.</t>
  </si>
  <si>
    <t>Hvad betyder det, når frugt er i sæson? s.41</t>
  </si>
  <si>
    <t>Hvordan opbevarer du frugt? s.41</t>
  </si>
  <si>
    <t>Hvordan smager frugt? s.42</t>
  </si>
  <si>
    <t>Hvordan smager nødder? s.42</t>
  </si>
  <si>
    <t>Hvordan tilbereder du frugt og nødder? s.43</t>
  </si>
  <si>
    <t>Hvordan spiser du frugt? s.44</t>
  </si>
  <si>
    <t>Hvordan spiser du nødder? s.44</t>
  </si>
  <si>
    <t>Juni</t>
  </si>
  <si>
    <t>Sommerafslutning</t>
  </si>
  <si>
    <t>Hvad er et festmåltid?</t>
  </si>
  <si>
    <t>Eleven har lært om måltider ved særlige anledninger.</t>
  </si>
  <si>
    <t xml:space="preserve">Denne del af forløbet er for at give eleverne inspiration til, hvordan de kan skabe det perfekte festmåltid. </t>
  </si>
  <si>
    <t>Hvad er et festmåltid? s.1</t>
  </si>
  <si>
    <t>Eleven har viden om sundmad og madlavning.</t>
  </si>
  <si>
    <t>Tal med eleverne om festmåltider, og hvad et festmåltid er for dem.</t>
  </si>
  <si>
    <t>Opskrifter og indkøbslister</t>
  </si>
  <si>
    <t>Eleven kan arbejde ud fra en opskrift.</t>
  </si>
  <si>
    <t xml:space="preserve">Brug materialer og film som guideline eller inspiration. </t>
  </si>
  <si>
    <t>Eleven har lært at udarbejde en indkøbsliste.</t>
  </si>
  <si>
    <t xml:space="preserve">Husk at print opskrifterne, lav det gerne til et opskrifthæfte. </t>
  </si>
  <si>
    <t>Eleven kan arbejde selvstændigt med en opskrift, og kan sætte sit eget præg på retten.</t>
  </si>
  <si>
    <t>Eleven har viden om næringsdeklarationer og tilsætningsstoffer.</t>
  </si>
  <si>
    <t xml:space="preserve">Eleven kan udvikle opskrifter. </t>
  </si>
  <si>
    <t xml:space="preserve">Eleven har viden om mål og struktur i opskrifter. </t>
  </si>
  <si>
    <t>Eleven har kombinere grundmetoder og teknikker i madlavning.</t>
  </si>
  <si>
    <t>Eleven har lært at lave mad til mange mennesker.</t>
  </si>
  <si>
    <t>Skab et festmåltid i klassen. Sæt eleverne i gang med dagens opgaver/opskrifter. Sæt gerne et tidspunkt for, hvornår festmåltidet skal spises. Spis sammen i fælleskab.</t>
  </si>
  <si>
    <t>Eleven har lært at planlægge et større måltid.</t>
  </si>
  <si>
    <t xml:space="preserve">Et festmåltid kan være overdådigt, men det behøver det bestemt ikke. Derfor er der linket til opskrifter på forskellige slags isdesserter. </t>
  </si>
  <si>
    <t>Eleven kan tilsmage og krydre maden.</t>
  </si>
  <si>
    <t xml:space="preserve">Eleven har viden om tilsmagning og krydring. </t>
  </si>
  <si>
    <t>Praksislektioner: 2-6</t>
  </si>
  <si>
    <t>Det kan anbefales at samles om et bål, hvis man har faciliteterne til det. Det skaber et andet nærvær, og er en god social aktivitet for eleverne. Derfor er der linket til to gode opskrifter, man kan lave over bål.</t>
  </si>
  <si>
    <t>Valgfag</t>
  </si>
  <si>
    <r>
      <rPr>
        <sz val="10"/>
        <rFont val="Arial"/>
        <family val="2"/>
      </rPr>
      <t>Gennemgå hygiejnereglerne med eleverne.</t>
    </r>
    <r>
      <rPr>
        <sz val="10"/>
        <color rgb="FF000000"/>
        <rFont val="Arial"/>
        <family val="2"/>
      </rPr>
      <t xml:space="preserve"> </t>
    </r>
    <r>
      <rPr>
        <sz val="10"/>
        <rFont val="Arial"/>
        <family val="2"/>
      </rPr>
      <t>Vis eleverne hvordan de håndtere forskellige fødevare, og hvad de skal være opmærksomme på i forhold til hygiejne. Vis dem eventuelt hvilke skærebræt, de må bruge, når de arbejder med kød, grøntsager og brød.</t>
    </r>
  </si>
  <si>
    <t>Nej</t>
  </si>
  <si>
    <t>Ja</t>
  </si>
  <si>
    <t>GoCook til Verdens Ende</t>
  </si>
  <si>
    <t>GoCook-100 % din ret - bogen til madkundskab</t>
  </si>
  <si>
    <t>GoCook 100 % din ret - bogen til madkundskab</t>
  </si>
  <si>
    <t>GoCook - Til verdens ende</t>
  </si>
  <si>
    <t>Filetering af fisk s.68</t>
  </si>
  <si>
    <t>Kompetenceområder og -mål</t>
  </si>
  <si>
    <r>
      <rPr>
        <b/>
        <sz val="10"/>
        <color rgb="FF000000"/>
        <rFont val="Arial"/>
        <family val="2"/>
      </rPr>
      <t xml:space="preserve">Mad &amp; Sundhed </t>
    </r>
    <r>
      <rPr>
        <sz val="10"/>
        <color rgb="FF000000"/>
        <rFont val="Arial"/>
        <family val="2"/>
      </rPr>
      <t>- Eleven kan træffe begrundede madvalg i forhold til sundhed</t>
    </r>
  </si>
  <si>
    <r>
      <rPr>
        <b/>
        <sz val="10"/>
        <color theme="1"/>
        <rFont val="Arial"/>
        <family val="2"/>
      </rPr>
      <t xml:space="preserve">Mad &amp; Sundhed - </t>
    </r>
    <r>
      <rPr>
        <sz val="10"/>
        <color theme="1"/>
        <rFont val="Arial"/>
        <family val="2"/>
      </rPr>
      <t xml:space="preserve">Eleven kan træffe begrundede madvalg i forhold til sundhed. </t>
    </r>
  </si>
  <si>
    <r>
      <rPr>
        <b/>
        <sz val="10"/>
        <color theme="1"/>
        <rFont val="Arial"/>
        <family val="2"/>
      </rPr>
      <t>Mad &amp; Sundhed</t>
    </r>
    <r>
      <rPr>
        <sz val="10"/>
        <color theme="1"/>
        <rFont val="Arial"/>
        <family val="2"/>
      </rPr>
      <t xml:space="preserve"> - Eleven kan træffe begrundede madvalg i forhold til sundhed. </t>
    </r>
  </si>
  <si>
    <r>
      <rPr>
        <b/>
        <sz val="10"/>
        <color rgb="FF000000"/>
        <rFont val="Arial"/>
        <family val="2"/>
      </rPr>
      <t>Mad &amp; Sundhed</t>
    </r>
    <r>
      <rPr>
        <sz val="10"/>
        <color rgb="FF000000"/>
        <rFont val="Arial"/>
        <family val="2"/>
      </rPr>
      <t xml:space="preserve"> - Eleven kan træffe begrundede madvalg i forhold til sundhed.</t>
    </r>
  </si>
  <si>
    <r>
      <rPr>
        <b/>
        <sz val="10"/>
        <color theme="1"/>
        <rFont val="Arial"/>
        <family val="2"/>
      </rPr>
      <t xml:space="preserve">Fødevarebevidsthed </t>
    </r>
    <r>
      <rPr>
        <sz val="10"/>
        <color theme="1"/>
        <rFont val="Arial"/>
        <family val="2"/>
      </rPr>
      <t>- Eleven kan træffe begrundede madvalg i forhold til kvalitet, smag og bæredygtighed.</t>
    </r>
  </si>
  <si>
    <r>
      <rPr>
        <b/>
        <sz val="10"/>
        <color rgb="FF000000"/>
        <rFont val="Arial"/>
        <family val="2"/>
      </rPr>
      <t xml:space="preserve">Fødevarebevidsthed </t>
    </r>
    <r>
      <rPr>
        <sz val="10"/>
        <color rgb="FF000000"/>
        <rFont val="Arial"/>
        <family val="2"/>
      </rPr>
      <t>- Eleven kan træffe begrundede madvalg i forhold til kvalitet, smag og bæredygtighed</t>
    </r>
  </si>
  <si>
    <r>
      <rPr>
        <b/>
        <sz val="10"/>
        <color rgb="FF000000"/>
        <rFont val="Arial"/>
        <family val="2"/>
      </rPr>
      <t xml:space="preserve">Fødevarebevidsthed  </t>
    </r>
    <r>
      <rPr>
        <sz val="10"/>
        <color rgb="FF000000"/>
        <rFont val="Arial"/>
        <family val="2"/>
      </rPr>
      <t>- Eleven kan træffe begrundede madvalg i forhold til kvalitet, smag og bæredygtighed</t>
    </r>
  </si>
  <si>
    <r>
      <rPr>
        <b/>
        <sz val="10"/>
        <color theme="1"/>
        <rFont val="Arial"/>
        <family val="2"/>
      </rPr>
      <t>Madlavning</t>
    </r>
    <r>
      <rPr>
        <sz val="10"/>
        <color theme="1"/>
        <rFont val="Arial"/>
        <family val="2"/>
      </rPr>
      <t xml:space="preserve"> - Eleven kan anvende madlavningsteknikker og omsætte idéer i madlavningen. </t>
    </r>
  </si>
  <si>
    <r>
      <rPr>
        <b/>
        <sz val="10"/>
        <color rgb="FF000000"/>
        <rFont val="Arial"/>
        <family val="2"/>
      </rPr>
      <t>Madlavning</t>
    </r>
    <r>
      <rPr>
        <sz val="10"/>
        <color rgb="FF000000"/>
        <rFont val="Arial"/>
        <family val="2"/>
      </rPr>
      <t xml:space="preserve"> - Eleven kan anvende madlavningsteknikker og omsætte idéer i madlavningen.</t>
    </r>
  </si>
  <si>
    <r>
      <rPr>
        <b/>
        <sz val="10"/>
        <color rgb="FF000000"/>
        <rFont val="Arial"/>
        <family val="2"/>
      </rPr>
      <t xml:space="preserve">Fødevarebevidsthed </t>
    </r>
    <r>
      <rPr>
        <sz val="10"/>
        <color rgb="FF000000"/>
        <rFont val="Arial"/>
        <family val="2"/>
      </rPr>
      <t xml:space="preserve"> - Eleven kan træffe begrundede madvalg i forhold til kvalitet, smag og bæredygtighed</t>
    </r>
  </si>
  <si>
    <r>
      <rPr>
        <b/>
        <sz val="10"/>
        <color rgb="FF000000"/>
        <rFont val="Arial"/>
        <family val="2"/>
      </rPr>
      <t xml:space="preserve">Madlavning </t>
    </r>
    <r>
      <rPr>
        <sz val="10"/>
        <color rgb="FF000000"/>
        <rFont val="Arial"/>
        <family val="2"/>
      </rPr>
      <t>- Eleven kan anvende madlavningsteknikker og omsætte idéer i madlavningen.</t>
    </r>
  </si>
  <si>
    <r>
      <rPr>
        <b/>
        <sz val="10"/>
        <color theme="1"/>
        <rFont val="Arial"/>
        <family val="2"/>
      </rPr>
      <t>Måltid og madkultur</t>
    </r>
    <r>
      <rPr>
        <sz val="10"/>
        <color theme="1"/>
        <rFont val="Arial"/>
        <family val="2"/>
      </rPr>
      <t xml:space="preserve">  - Eleven kan fortolke måltider ud fra formål med forståelse for værdier, kultur og levevilkår.</t>
    </r>
  </si>
  <si>
    <r>
      <rPr>
        <b/>
        <sz val="10"/>
        <color rgb="FF000000"/>
        <rFont val="Arial"/>
        <family val="2"/>
      </rPr>
      <t>Fødevarebevidsthed</t>
    </r>
    <r>
      <rPr>
        <sz val="10"/>
        <color rgb="FF000000"/>
        <rFont val="Arial"/>
        <family val="2"/>
      </rPr>
      <t xml:space="preserve">  - Eleven kan træffe begrundede madvalg i forhold til kvalitet, smag og bæredygtighed</t>
    </r>
  </si>
  <si>
    <r>
      <rPr>
        <b/>
        <sz val="10"/>
        <color theme="1"/>
        <rFont val="Arial"/>
        <family val="2"/>
      </rPr>
      <t>Mad &amp; Sundhed -</t>
    </r>
    <r>
      <rPr>
        <sz val="10"/>
        <color theme="1"/>
        <rFont val="Arial"/>
        <family val="2"/>
      </rPr>
      <t xml:space="preserve"> Eleven kan træffe begrundede madvalg i forhold til sundhed.</t>
    </r>
  </si>
  <si>
    <r>
      <rPr>
        <b/>
        <sz val="10"/>
        <color rgb="FF000000"/>
        <rFont val="Arial"/>
        <family val="2"/>
      </rPr>
      <t>Fødevarebevidsthed</t>
    </r>
    <r>
      <rPr>
        <sz val="10"/>
        <color rgb="FF000000"/>
        <rFont val="Arial"/>
        <family val="2"/>
      </rPr>
      <t xml:space="preserve"> - Eleven kan træffe begrundede madvalg i forhold til kvalitet, smag og bæredygtighed</t>
    </r>
  </si>
  <si>
    <r>
      <rPr>
        <b/>
        <sz val="10"/>
        <color rgb="FF000000"/>
        <rFont val="Arial"/>
        <family val="2"/>
      </rPr>
      <t>Mad &amp; Sundhed -</t>
    </r>
    <r>
      <rPr>
        <sz val="10"/>
        <color rgb="FF000000"/>
        <rFont val="Arial"/>
        <family val="2"/>
      </rPr>
      <t xml:space="preserve"> Eleven kan træffe begrundede madvalg i forhold til sundhed.</t>
    </r>
  </si>
  <si>
    <r>
      <rPr>
        <b/>
        <sz val="10"/>
        <color rgb="FF000000"/>
        <rFont val="Arial"/>
        <family val="2"/>
      </rPr>
      <t>Fødevarebevisthed</t>
    </r>
    <r>
      <rPr>
        <sz val="10"/>
        <color rgb="FF000000"/>
        <rFont val="Arial"/>
        <family val="2"/>
      </rPr>
      <t xml:space="preserve"> - Eleven kan træffe begrundede madvalg i forhold til kvalitet, smag og bæredygtighed</t>
    </r>
  </si>
  <si>
    <r>
      <rPr>
        <b/>
        <sz val="10"/>
        <color rgb="FF000000"/>
        <rFont val="Arial"/>
        <family val="2"/>
      </rPr>
      <t xml:space="preserve">Mad &amp; Sundhed  - </t>
    </r>
    <r>
      <rPr>
        <sz val="10"/>
        <color rgb="FF000000"/>
        <rFont val="Arial"/>
        <family val="2"/>
      </rPr>
      <t>Eleven kan træffe begrundede madvalg i forhold til sundhed.</t>
    </r>
  </si>
  <si>
    <r>
      <rPr>
        <b/>
        <sz val="10"/>
        <color theme="1"/>
        <rFont val="Arial"/>
        <family val="2"/>
      </rPr>
      <t xml:space="preserve">Mad &amp; Sundhed  - </t>
    </r>
    <r>
      <rPr>
        <sz val="10"/>
        <color theme="1"/>
        <rFont val="Arial"/>
        <family val="2"/>
      </rPr>
      <t xml:space="preserve">Eleven kan træffe begrundede madvalg i forhold til sundhed. </t>
    </r>
  </si>
  <si>
    <r>
      <rPr>
        <b/>
        <sz val="10"/>
        <color rgb="FF000000"/>
        <rFont val="Arial"/>
        <family val="2"/>
      </rPr>
      <t xml:space="preserve">Måltid &amp; Madkultur - </t>
    </r>
    <r>
      <rPr>
        <sz val="10"/>
        <color rgb="FF000000"/>
        <rFont val="Arial"/>
        <family val="2"/>
      </rPr>
      <t>Eleven kan fortolke måltider med forståelse for værdier, kultur og levevilkår.</t>
    </r>
  </si>
  <si>
    <r>
      <rPr>
        <b/>
        <sz val="10"/>
        <color theme="1"/>
        <rFont val="Arial"/>
        <family val="2"/>
      </rPr>
      <t xml:space="preserve">Mad &amp; Sundhed  - </t>
    </r>
    <r>
      <rPr>
        <sz val="10"/>
        <color theme="1"/>
        <rFont val="Arial"/>
        <family val="2"/>
      </rPr>
      <t>Eleven kan træffe begrundede madvalg i forhold til sundhed.</t>
    </r>
  </si>
  <si>
    <t>Områder</t>
  </si>
  <si>
    <t>Sundhedsbevidsthed</t>
  </si>
  <si>
    <t>Ernæring og energibehov</t>
  </si>
  <si>
    <t>Råvarekendskab</t>
  </si>
  <si>
    <t>Madvaredeklarationer og fødevaremærkninger</t>
  </si>
  <si>
    <t>Grundmetoder og madteknik</t>
  </si>
  <si>
    <t>Madlavningens mål og struktur</t>
  </si>
  <si>
    <t>Smag og tilsmagning</t>
  </si>
  <si>
    <t>Kvalitetsforståelse og madforbrug</t>
  </si>
  <si>
    <t>Madlavningens fysik og kemi</t>
  </si>
  <si>
    <t>Måltidets komposition</t>
  </si>
  <si>
    <t>Bæredygtighed og miljø</t>
  </si>
  <si>
    <r>
      <rPr>
        <b/>
        <sz val="10"/>
        <color rgb="FF000000"/>
        <rFont val="Arial"/>
        <family val="2"/>
      </rPr>
      <t xml:space="preserve">Mad &amp; Sundhed - </t>
    </r>
    <r>
      <rPr>
        <sz val="10"/>
        <color rgb="FF000000"/>
        <rFont val="Arial"/>
        <family val="2"/>
      </rPr>
      <t xml:space="preserve">Eleven kan træffe begrundede madvalg i forhold til sundhed. </t>
    </r>
    <r>
      <rPr>
        <b/>
        <sz val="10"/>
        <color rgb="FF000000"/>
        <rFont val="Arial"/>
        <family val="2"/>
      </rPr>
      <t>Madlavning</t>
    </r>
    <r>
      <rPr>
        <sz val="10"/>
        <color rgb="FF000000"/>
        <rFont val="Arial"/>
        <family val="2"/>
      </rPr>
      <t xml:space="preserve"> - Eleven kan anvende madlavningsteknikker  og omsætte ideer i madlavningen</t>
    </r>
  </si>
  <si>
    <r>
      <rPr>
        <b/>
        <sz val="10"/>
        <color theme="1"/>
        <rFont val="Arial"/>
        <family val="2"/>
      </rPr>
      <t xml:space="preserve">Måltid og madkultur - </t>
    </r>
    <r>
      <rPr>
        <sz val="10"/>
        <color theme="1"/>
        <rFont val="Arial"/>
        <family val="2"/>
      </rPr>
      <t>Eleven kan fortolke måltider med forståelse for værdier, kultur og levevilkår.</t>
    </r>
  </si>
  <si>
    <t>Måltidskultur</t>
  </si>
  <si>
    <r>
      <rPr>
        <b/>
        <sz val="10"/>
        <color rgb="FF000000"/>
        <rFont val="Arial"/>
        <family val="2"/>
      </rPr>
      <t xml:space="preserve">Måltid og madkultur  - </t>
    </r>
    <r>
      <rPr>
        <sz val="10"/>
        <color rgb="FF000000"/>
        <rFont val="Arial"/>
        <family val="2"/>
      </rPr>
      <t>Eleven kan fortolke måltider med forståelse for værdier, kultur og levevilkår.</t>
    </r>
  </si>
  <si>
    <t>Eleven kan omsætte viden om sund mad i madlavning.</t>
  </si>
  <si>
    <t>Opskrifter og indkøbslister s. 2-6</t>
  </si>
  <si>
    <t>Opskrifter s. 5-6</t>
  </si>
  <si>
    <t>Gode råd s. 6-8</t>
  </si>
  <si>
    <t>Festmåltidet s. 8</t>
  </si>
  <si>
    <t>Opskrifter s.8</t>
  </si>
  <si>
    <t>Festmåltidet - mindre omfangsrigt</t>
  </si>
  <si>
    <t xml:space="preserve">Eleven har viden om fagord og begreber og maddeklarationer og mærknings-ordningers formål og struktur. </t>
  </si>
  <si>
    <t>Æbler</t>
  </si>
  <si>
    <t>GoCook Æblehack</t>
  </si>
  <si>
    <t>Suppléer evt. køb af æbler med sorter fra dine elevers haver.</t>
  </si>
  <si>
    <t>Eleven har lært om og smagt på mange forskellige æblesorter.</t>
  </si>
  <si>
    <t>Eleven har viden om råvaregruppers smag og anvendelse.</t>
  </si>
  <si>
    <t>Danmark er et æbleland, s. 5</t>
  </si>
  <si>
    <t>Æblechallenge</t>
  </si>
  <si>
    <t>Hvordan smager de danske æbler?, s. 6-7</t>
  </si>
  <si>
    <t>Materialet er godt egnet til tværfagligt arbejde m. fx biologi og natur &amp; teknologi.</t>
  </si>
  <si>
    <t>Eleven har viden om råvaregruppers fysisk-kemiske egenskaber.</t>
  </si>
  <si>
    <t>Pektin i æbler, s. 9</t>
  </si>
  <si>
    <t>Eleven kan fortælle, hvordan man dyrker æbler, herunder bæredygtighed.</t>
  </si>
  <si>
    <t>Hvorfor bliver æbler brune?, s. 10</t>
  </si>
  <si>
    <t>Hvordan opbevarer og bruger du æbler?, s. 11</t>
  </si>
  <si>
    <t>Æbler på seks forskellige måder</t>
  </si>
  <si>
    <t>Materialet kan være fagligt tungt og m. meget tekst. Supplér derfor m. film.</t>
  </si>
  <si>
    <t>Årets gang i æbleplantagen, s. 15-23</t>
  </si>
  <si>
    <t>Hvordan dyrker man æbler?</t>
  </si>
  <si>
    <t>Sådan laver man en plantage med æbler</t>
  </si>
  <si>
    <t>Konventionel vs. Øko, s. 24</t>
  </si>
  <si>
    <t>Hvad er forskellen på konventionelle og økologiske æbler?</t>
  </si>
  <si>
    <t>Æbletricks i kokkeskolen s. 12</t>
  </si>
  <si>
    <t>Sådan skræller du æbler</t>
  </si>
  <si>
    <t>Frittata med bacon og æble</t>
  </si>
  <si>
    <t>Eleven har lært at lave retter, hvor æblet indgår som ingrediens.</t>
  </si>
  <si>
    <t>Eleven kan lave mad ud fra enkle grundmetoder og teknikker.</t>
  </si>
  <si>
    <t>Sådan skærer du æbler i skiver</t>
  </si>
  <si>
    <t>Æbleboller</t>
  </si>
  <si>
    <t>Sådan skærer du æbler i kvarte</t>
  </si>
  <si>
    <t>Pizza med bacon og æble</t>
  </si>
  <si>
    <t>Eleven har viden
om grundmetoder og
teknikker i madlavning.</t>
  </si>
  <si>
    <t>Sådan skærer ud æbler i både</t>
  </si>
  <si>
    <t>Burger med pulled chicken</t>
  </si>
  <si>
    <t>Eleven har lært køkkenteknikker og metoder, der omhandler æbler.</t>
  </si>
  <si>
    <t>Sådan skærer du æbler i tern</t>
  </si>
  <si>
    <t>Arme riddere med æble</t>
  </si>
  <si>
    <t>Sådan bruger du en æbleskræller</t>
  </si>
  <si>
    <t>Eleven har lært at bruge nogle af æblets fysisk-kemiske egenskaber i madlavningen.</t>
  </si>
  <si>
    <t>Eleven kan skelne mellem forskellige grundsmage, konsistens og aroma.</t>
  </si>
  <si>
    <t>Eleven kan skabe retter under hensynstagen til sammenhæng mellem madlav-ningsgrundmetoder og fysisk-kemiske egenskaber.</t>
  </si>
  <si>
    <t>Eleven har viden om sammenhæng mellem adlavnings grundmetoder og fysisk-kemiske egenskaber.</t>
  </si>
  <si>
    <t>Æblet igennem tiden s. 28</t>
  </si>
  <si>
    <t>Æbleskivens forvandling s. 29</t>
  </si>
  <si>
    <t>Æbler i krig s. 32</t>
  </si>
  <si>
    <t>Krigstid og madspild s. 35</t>
  </si>
  <si>
    <t>Red maden - brug rester (fra smagekassen) s. 35</t>
  </si>
  <si>
    <t>Madspild og æblemost s. 25</t>
  </si>
  <si>
    <t>Hvad er æblets historie?</t>
  </si>
  <si>
    <t>Gammeldags æbleskiver - en ny favorit?</t>
  </si>
  <si>
    <t>Red æblerne</t>
  </si>
  <si>
    <t>Hvordan laver man æblemost?</t>
  </si>
  <si>
    <t>Æbleskiver med æbleskive</t>
  </si>
  <si>
    <t>Æbleskiver med æblemarmelade</t>
  </si>
  <si>
    <t>Æbleskiver med gær</t>
  </si>
  <si>
    <t>Æblete med friske æbler</t>
  </si>
  <si>
    <t>Blomkålssuppe med æbler</t>
  </si>
  <si>
    <t>Gammeldags æblekage</t>
  </si>
  <si>
    <t>I julemåneden laver vi rigtig meget mad. Det kan derfor være oplagt også at se, hvordan vi mindsker madspild, da vi ikke altid kan spise al den mad.</t>
  </si>
  <si>
    <t>Opskrifter svarer til normale portioner. En opskrift til 4 pers. kan derfor godt deles i 8 små portioner.</t>
  </si>
  <si>
    <t>Eleven har lært om æblets historie og betydning for dansk madkultur - både før og nu.</t>
  </si>
  <si>
    <t>Eleven kan opbygge
måltider til særlige
anledninger.</t>
  </si>
  <si>
    <t>Eleven har viden om
måltidsanledninger.</t>
  </si>
  <si>
    <t xml:space="preserve">Kartofler &amp; Grove grøntsager &amp; Æbler </t>
  </si>
  <si>
    <t>Afsnittet om 'Red maden' er lavet i relation til Smagekassen, men I kan også tage udgangspunkt i, hvad der lige nu ligger i køleskabet. Evt. se, hvad der ligger i køleskabet hjemme hos eleverne og tal om, hvad I kunne bruge al den mad til.</t>
  </si>
  <si>
    <t>nej</t>
  </si>
  <si>
    <t>Eleven har lært om nogle af de fysisk-kemiske egenskaber i æbler.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</si>
</sst>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0"/>
      <color rgb="FF000000"/>
      <name val="Arial"/>
    </font>
    <font>
      <sz val="10"/>
      <color theme="1"/>
      <name val="Arial"/>
    </font>
    <font>
      <b/>
      <sz val="12"/>
      <color theme="1"/>
      <name val="Arial"/>
    </font>
    <font>
      <b/>
      <sz val="12"/>
      <color rgb="FF000000"/>
      <name val="Arial"/>
    </font>
    <font>
      <sz val="12"/>
      <color theme="1"/>
      <name val="Arial"/>
    </font>
    <font>
      <sz val="10"/>
      <name val="Arial"/>
    </font>
    <font>
      <sz val="12"/>
      <color rgb="FF000000"/>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1155CC"/>
      <name val="Roboto"/>
    </font>
    <font>
      <u/>
      <sz val="12"/>
      <color rgb="FF0000FF"/>
      <name val="Arial"/>
    </font>
    <font>
      <u/>
      <sz val="12"/>
      <color rgb="FF1155CC"/>
      <name val="Roboto"/>
    </font>
    <font>
      <sz val="12"/>
      <color rgb="FF000000"/>
      <name val="Roboto"/>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0000FF"/>
      <name val="Arial"/>
    </font>
    <font>
      <u/>
      <sz val="12"/>
      <color rgb="FF1155CC"/>
      <name val="Arial"/>
    </font>
    <font>
      <u/>
      <sz val="12"/>
      <color rgb="FF0000FF"/>
      <name val="Arial"/>
    </font>
    <font>
      <u/>
      <sz val="12"/>
      <color rgb="FF1155CC"/>
      <name val="Arial"/>
    </font>
    <font>
      <u/>
      <sz val="12"/>
      <color rgb="FF0000FF"/>
      <name val="Arial"/>
    </font>
    <font>
      <u/>
      <sz val="12"/>
      <color rgb="FF1155CC"/>
      <name val="Arial"/>
    </font>
    <font>
      <u/>
      <sz val="12"/>
      <color rgb="FF1155CC"/>
      <name val="Arial"/>
    </font>
    <font>
      <u/>
      <sz val="12"/>
      <color rgb="FF1155CC"/>
      <name val="Arial"/>
    </font>
    <font>
      <sz val="10"/>
      <color theme="1"/>
      <name val="Arial"/>
      <family val="2"/>
    </font>
    <font>
      <sz val="10"/>
      <color rgb="FF000000"/>
      <name val="Arial"/>
      <family val="2"/>
    </font>
    <font>
      <b/>
      <sz val="10"/>
      <color theme="1"/>
      <name val="Arial"/>
      <family val="2"/>
    </font>
    <font>
      <sz val="10"/>
      <name val="Arial"/>
      <family val="2"/>
    </font>
    <font>
      <u/>
      <sz val="10"/>
      <color rgb="FF0000FF"/>
      <name val="Arial"/>
      <family val="2"/>
    </font>
    <font>
      <u/>
      <sz val="10"/>
      <color rgb="FF000000"/>
      <name val="Roboto"/>
    </font>
    <font>
      <u/>
      <sz val="10"/>
      <color rgb="FF000000"/>
      <name val="Arial"/>
      <family val="2"/>
    </font>
    <font>
      <b/>
      <sz val="12"/>
      <color rgb="FF00B050"/>
      <name val="Arial"/>
      <family val="2"/>
    </font>
    <font>
      <sz val="10"/>
      <color rgb="FF00B050"/>
      <name val="Arial"/>
      <family val="2"/>
    </font>
    <font>
      <b/>
      <sz val="10"/>
      <color rgb="FF000000"/>
      <name val="Arial"/>
      <family val="2"/>
    </font>
    <font>
      <u/>
      <sz val="10"/>
      <color theme="10"/>
      <name val="Arial"/>
    </font>
    <font>
      <u/>
      <sz val="12"/>
      <color theme="10"/>
      <name val="Arial"/>
      <family val="2"/>
    </font>
    <font>
      <sz val="12"/>
      <name val="Arial"/>
      <family val="2"/>
    </font>
    <font>
      <sz val="12"/>
      <color theme="1"/>
      <name val="Arial"/>
      <family val="2"/>
    </font>
    <font>
      <u/>
      <sz val="12"/>
      <color rgb="FF0000FF"/>
      <name val="Arial"/>
      <family val="2"/>
    </font>
    <font>
      <sz val="12"/>
      <color rgb="FF000000"/>
      <name val="Arial"/>
      <family val="2"/>
    </font>
    <font>
      <b/>
      <sz val="12"/>
      <color theme="4"/>
      <name val="Arial"/>
      <family val="2"/>
    </font>
  </fonts>
  <fills count="9">
    <fill>
      <patternFill patternType="none"/>
    </fill>
    <fill>
      <patternFill patternType="gray125"/>
    </fill>
    <fill>
      <patternFill patternType="solid">
        <fgColor rgb="FFDD7E6B"/>
        <bgColor rgb="FFDD7E6B"/>
      </patternFill>
    </fill>
    <fill>
      <patternFill patternType="solid">
        <fgColor rgb="FFE6B8AF"/>
        <bgColor rgb="FFE6B8AF"/>
      </patternFill>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CCCCCC"/>
        <bgColor rgb="FFCCCCCC"/>
      </patternFill>
    </fill>
    <fill>
      <patternFill patternType="solid">
        <fgColor theme="0" tint="-4.9989318521683403E-2"/>
        <bgColor indexed="64"/>
      </patternFill>
    </fill>
  </fills>
  <borders count="156">
    <border>
      <left/>
      <right/>
      <top/>
      <bottom/>
      <diagonal/>
    </border>
    <border>
      <left style="thick">
        <color rgb="FF000000"/>
      </left>
      <right style="thick">
        <color rgb="FF000000"/>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ck">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medium">
        <color rgb="FF000000"/>
      </left>
      <right/>
      <top style="medium">
        <color rgb="FF000000"/>
      </top>
      <bottom/>
      <diagonal/>
    </border>
    <border>
      <left/>
      <right style="thin">
        <color rgb="FF000000"/>
      </right>
      <top style="thick">
        <color rgb="FF000000"/>
      </top>
      <bottom/>
      <diagonal/>
    </border>
    <border>
      <left/>
      <right style="thick">
        <color rgb="FF000000"/>
      </right>
      <top style="medium">
        <color rgb="FF000000"/>
      </top>
      <bottom/>
      <diagonal/>
    </border>
    <border>
      <left style="medium">
        <color rgb="FF000000"/>
      </left>
      <right/>
      <top/>
      <bottom/>
      <diagonal/>
    </border>
    <border>
      <left/>
      <right style="thin">
        <color rgb="FF000000"/>
      </right>
      <top/>
      <bottom style="thin">
        <color rgb="FF000000"/>
      </bottom>
      <diagonal/>
    </border>
    <border>
      <left style="thin">
        <color rgb="FF000000"/>
      </left>
      <right style="thin">
        <color rgb="FF000000"/>
      </right>
      <top style="thick">
        <color rgb="FF000000"/>
      </top>
      <bottom/>
      <diagonal/>
    </border>
    <border>
      <left/>
      <right style="thick">
        <color rgb="FF000000"/>
      </right>
      <top/>
      <bottom style="medium">
        <color rgb="FF000000"/>
      </bottom>
      <diagonal/>
    </border>
    <border>
      <left/>
      <right/>
      <top style="thick">
        <color rgb="FF000000"/>
      </top>
      <bottom/>
      <diagonal/>
    </border>
    <border>
      <left style="thin">
        <color rgb="FF000000"/>
      </left>
      <right/>
      <top style="thick">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ck">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ck">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thin">
        <color rgb="FF000000"/>
      </bottom>
      <diagonal/>
    </border>
    <border>
      <left/>
      <right style="medium">
        <color rgb="FF000000"/>
      </right>
      <top/>
      <bottom style="medium">
        <color rgb="FF000000"/>
      </bottom>
      <diagonal/>
    </border>
    <border>
      <left/>
      <right style="thick">
        <color rgb="FF000000"/>
      </right>
      <top style="thin">
        <color rgb="FF000000"/>
      </top>
      <bottom/>
      <diagonal/>
    </border>
    <border>
      <left/>
      <right/>
      <top/>
      <bottom style="thick">
        <color rgb="FF000000"/>
      </bottom>
      <diagonal/>
    </border>
    <border>
      <left style="medium">
        <color rgb="FF000000"/>
      </left>
      <right/>
      <top style="thick">
        <color rgb="FF000000"/>
      </top>
      <bottom/>
      <diagonal/>
    </border>
    <border>
      <left/>
      <right style="medium">
        <color rgb="FF000000"/>
      </right>
      <top style="thick">
        <color rgb="FF000000"/>
      </top>
      <bottom/>
      <diagonal/>
    </border>
    <border>
      <left style="thick">
        <color rgb="FF000000"/>
      </left>
      <right style="thick">
        <color rgb="FF000000"/>
      </right>
      <top style="thick">
        <color rgb="FF000000"/>
      </top>
      <bottom/>
      <diagonal/>
    </border>
    <border>
      <left style="thin">
        <color rgb="FF000000"/>
      </left>
      <right/>
      <top/>
      <bottom style="thick">
        <color rgb="FF000000"/>
      </bottom>
      <diagonal/>
    </border>
    <border>
      <left style="medium">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right/>
      <top style="thin">
        <color rgb="FF000000"/>
      </top>
      <bottom style="thick">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thin">
        <color rgb="FF000000"/>
      </left>
      <right style="thick">
        <color rgb="FF000000"/>
      </right>
      <top/>
      <bottom style="thin">
        <color rgb="FF000000"/>
      </bottom>
      <diagonal/>
    </border>
    <border>
      <left/>
      <right/>
      <top style="medium">
        <color rgb="FF000000"/>
      </top>
      <bottom/>
      <diagonal/>
    </border>
    <border>
      <left style="thin">
        <color indexed="64"/>
      </left>
      <right/>
      <top style="thick">
        <color rgb="FF000000"/>
      </top>
      <bottom/>
      <diagonal/>
    </border>
    <border>
      <left style="thick">
        <color rgb="FF000000"/>
      </left>
      <right/>
      <top style="thick">
        <color rgb="FF000000"/>
      </top>
      <bottom style="thick">
        <color rgb="FF000000"/>
      </bottom>
      <diagonal/>
    </border>
    <border>
      <left style="thin">
        <color indexed="64"/>
      </left>
      <right/>
      <top/>
      <bottom/>
      <diagonal/>
    </border>
    <border>
      <left style="thin">
        <color indexed="64"/>
      </left>
      <right style="thin">
        <color rgb="FF000000"/>
      </right>
      <top style="thick">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bottom style="medium">
        <color rgb="FF000000"/>
      </bottom>
      <diagonal/>
    </border>
    <border>
      <left style="thin">
        <color indexed="64"/>
      </left>
      <right style="thin">
        <color rgb="FF000000"/>
      </right>
      <top style="medium">
        <color rgb="FF000000"/>
      </top>
      <bottom/>
      <diagonal/>
    </border>
    <border>
      <left style="thin">
        <color indexed="64"/>
      </left>
      <right style="thin">
        <color rgb="FF000000"/>
      </right>
      <top/>
      <bottom style="thick">
        <color rgb="FF000000"/>
      </bottom>
      <diagonal/>
    </border>
    <border>
      <left style="thin">
        <color indexed="64"/>
      </left>
      <right/>
      <top style="medium">
        <color rgb="FF000000"/>
      </top>
      <bottom style="medium">
        <color rgb="FF000000"/>
      </bottom>
      <diagonal/>
    </border>
    <border>
      <left/>
      <right style="thin">
        <color indexed="64"/>
      </right>
      <top/>
      <bottom/>
      <diagonal/>
    </border>
    <border>
      <left/>
      <right style="thin">
        <color indexed="64"/>
      </right>
      <top/>
      <bottom style="medium">
        <color rgb="FF000000"/>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medium">
        <color rgb="FF000000"/>
      </left>
      <right style="thin">
        <color indexed="64"/>
      </right>
      <top/>
      <bottom style="thick">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rgb="FF000000"/>
      </bottom>
      <diagonal/>
    </border>
    <border>
      <left style="thin">
        <color indexed="64"/>
      </left>
      <right style="thin">
        <color indexed="64"/>
      </right>
      <top/>
      <bottom style="thick">
        <color rgb="FF000000"/>
      </bottom>
      <diagonal/>
    </border>
    <border>
      <left/>
      <right style="thin">
        <color indexed="64"/>
      </right>
      <top style="thick">
        <color rgb="FF000000"/>
      </top>
      <bottom/>
      <diagonal/>
    </border>
    <border>
      <left/>
      <right style="thin">
        <color indexed="64"/>
      </right>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right style="thin">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rgb="FF000000"/>
      </right>
      <top style="medium">
        <color rgb="FF000000"/>
      </top>
      <bottom/>
      <diagonal/>
    </border>
    <border>
      <left style="medium">
        <color indexed="64"/>
      </left>
      <right style="medium">
        <color indexed="64"/>
      </right>
      <top style="thick">
        <color rgb="FF000000"/>
      </top>
      <bottom/>
      <diagonal/>
    </border>
    <border>
      <left style="thin">
        <color rgb="FF000000"/>
      </left>
      <right/>
      <top style="medium">
        <color rgb="FF000000"/>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rgb="FF000000"/>
      </bottom>
      <diagonal/>
    </border>
    <border>
      <left style="thin">
        <color rgb="FF000000"/>
      </left>
      <right style="thin">
        <color rgb="FF000000"/>
      </right>
      <top/>
      <bottom style="medium">
        <color indexed="64"/>
      </bottom>
      <diagonal/>
    </border>
    <border>
      <left style="thin">
        <color indexed="64"/>
      </left>
      <right style="medium">
        <color rgb="FF000000"/>
      </right>
      <top style="thin">
        <color rgb="FF000000"/>
      </top>
      <bottom/>
      <diagonal/>
    </border>
    <border>
      <left style="thin">
        <color rgb="FF000000"/>
      </left>
      <right style="thin">
        <color rgb="FF000000"/>
      </right>
      <top/>
      <bottom style="double">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ck">
        <color rgb="FF000000"/>
      </top>
      <bottom/>
      <diagonal/>
    </border>
    <border>
      <left style="thin">
        <color rgb="FF000000"/>
      </left>
      <right style="thin">
        <color indexed="64"/>
      </right>
      <top/>
      <bottom style="thick">
        <color rgb="FF000000"/>
      </bottom>
      <diagonal/>
    </border>
    <border>
      <left style="thin">
        <color rgb="FF000000"/>
      </left>
      <right style="thin">
        <color indexed="64"/>
      </right>
      <top style="thin">
        <color indexed="64"/>
      </top>
      <bottom/>
      <diagonal/>
    </border>
    <border>
      <left style="thin">
        <color indexed="64"/>
      </left>
      <right style="medium">
        <color rgb="FF000000"/>
      </right>
      <top/>
      <bottom style="thin">
        <color indexed="64"/>
      </bottom>
      <diagonal/>
    </border>
    <border>
      <left style="thin">
        <color indexed="64"/>
      </left>
      <right/>
      <top style="thick">
        <color rgb="FF000000"/>
      </top>
      <bottom style="thick">
        <color rgb="FF000000"/>
      </bottom>
      <diagonal/>
    </border>
    <border>
      <left style="thin">
        <color indexed="64"/>
      </left>
      <right/>
      <top style="thin">
        <color rgb="FF000000"/>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ck">
        <color rgb="FF000000"/>
      </bottom>
      <diagonal/>
    </border>
    <border>
      <left/>
      <right/>
      <top/>
      <bottom style="thin">
        <color indexed="64"/>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ck">
        <color rgb="FF000000"/>
      </top>
      <bottom/>
      <diagonal/>
    </border>
    <border>
      <left/>
      <right/>
      <top/>
      <bottom style="medium">
        <color indexed="64"/>
      </bottom>
      <diagonal/>
    </border>
    <border>
      <left style="medium">
        <color rgb="FF000000"/>
      </left>
      <right style="thin">
        <color indexed="64"/>
      </right>
      <top/>
      <bottom style="medium">
        <color indexed="64"/>
      </bottom>
      <diagonal/>
    </border>
    <border>
      <left style="thin">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right style="medium">
        <color rgb="FF000000"/>
      </right>
      <top/>
      <bottom style="medium">
        <color indexed="64"/>
      </bottom>
      <diagonal/>
    </border>
    <border>
      <left style="thin">
        <color rgb="FF000000"/>
      </left>
      <right style="thick">
        <color rgb="FF000000"/>
      </right>
      <top/>
      <bottom style="medium">
        <color indexed="64"/>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indexed="64"/>
      </bottom>
      <diagonal/>
    </border>
    <border>
      <left style="thin">
        <color rgb="FF000000"/>
      </left>
      <right style="medium">
        <color rgb="FF000000"/>
      </right>
      <top/>
      <bottom style="medium">
        <color rgb="FF000000"/>
      </bottom>
      <diagonal/>
    </border>
    <border>
      <left style="medium">
        <color indexed="64"/>
      </left>
      <right style="thin">
        <color rgb="FF000000"/>
      </right>
      <top style="medium">
        <color rgb="FF000000"/>
      </top>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thin">
        <color indexed="64"/>
      </left>
      <right style="medium">
        <color rgb="FF000000"/>
      </right>
      <top/>
      <bottom/>
      <diagonal/>
    </border>
    <border>
      <left style="thin">
        <color indexed="64"/>
      </left>
      <right style="medium">
        <color rgb="FF000000"/>
      </right>
      <top/>
      <bottom style="thin">
        <color rgb="FF000000"/>
      </bottom>
      <diagonal/>
    </border>
    <border>
      <left/>
      <right style="thin">
        <color rgb="FF000000"/>
      </right>
      <top/>
      <bottom style="thin">
        <color indexed="64"/>
      </bottom>
      <diagonal/>
    </border>
    <border>
      <left style="medium">
        <color rgb="FF000000"/>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rgb="FF000000"/>
      </left>
      <right style="thin">
        <color indexed="64"/>
      </right>
      <top style="thin">
        <color indexed="64"/>
      </top>
      <bottom/>
      <diagonal/>
    </border>
    <border>
      <left style="thin">
        <color rgb="FF000000"/>
      </left>
      <right/>
      <top/>
      <bottom style="medium">
        <color indexed="64"/>
      </bottom>
      <diagonal/>
    </border>
    <border>
      <left style="medium">
        <color indexed="64"/>
      </left>
      <right style="thin">
        <color rgb="FF000000"/>
      </right>
      <top/>
      <bottom style="thick">
        <color rgb="FF000000"/>
      </bottom>
      <diagonal/>
    </border>
  </borders>
  <cellStyleXfs count="2">
    <xf numFmtId="0" fontId="0" fillId="0" borderId="0"/>
    <xf numFmtId="0" fontId="55" fillId="0" borderId="0" applyNumberFormat="0" applyFill="0" applyBorder="0" applyAlignment="0" applyProtection="0"/>
  </cellStyleXfs>
  <cellXfs count="572">
    <xf numFmtId="0" fontId="0" fillId="0" borderId="0" xfId="0" applyFont="1" applyAlignment="1"/>
    <xf numFmtId="0" fontId="1" fillId="0" borderId="0" xfId="0" applyFont="1" applyAlignment="1">
      <alignment vertical="top"/>
    </xf>
    <xf numFmtId="0" fontId="2" fillId="0" borderId="2" xfId="0" applyFont="1" applyBorder="1" applyAlignment="1">
      <alignment vertical="top" wrapText="1"/>
    </xf>
    <xf numFmtId="0" fontId="2" fillId="0" borderId="1" xfId="0" applyFont="1" applyBorder="1" applyAlignment="1">
      <alignment vertical="top" wrapText="1"/>
    </xf>
    <xf numFmtId="0" fontId="2" fillId="2" borderId="2" xfId="0" applyFont="1" applyFill="1" applyBorder="1" applyAlignment="1">
      <alignment vertical="top" wrapText="1"/>
    </xf>
    <xf numFmtId="0" fontId="2" fillId="2" borderId="1" xfId="0" applyFont="1" applyFill="1" applyBorder="1" applyAlignment="1">
      <alignment vertical="top" wrapText="1"/>
    </xf>
    <xf numFmtId="0" fontId="2" fillId="0" borderId="0" xfId="0" applyFont="1" applyAlignment="1">
      <alignment vertical="top"/>
    </xf>
    <xf numFmtId="0" fontId="1" fillId="0" borderId="4" xfId="0" applyFont="1" applyBorder="1" applyAlignment="1"/>
    <xf numFmtId="0" fontId="2" fillId="3" borderId="0" xfId="0" applyFont="1" applyFill="1" applyAlignment="1">
      <alignment vertical="top" wrapText="1"/>
    </xf>
    <xf numFmtId="0" fontId="1" fillId="3" borderId="6" xfId="0" applyFont="1" applyFill="1" applyBorder="1"/>
    <xf numFmtId="0" fontId="2" fillId="3" borderId="6" xfId="0" applyFont="1" applyFill="1" applyBorder="1" applyAlignment="1">
      <alignment horizontal="left"/>
    </xf>
    <xf numFmtId="0" fontId="1" fillId="3" borderId="6" xfId="0" applyFont="1" applyFill="1" applyBorder="1" applyAlignment="1">
      <alignment vertical="top"/>
    </xf>
    <xf numFmtId="0" fontId="4" fillId="3" borderId="6" xfId="0" applyFont="1" applyFill="1" applyBorder="1" applyAlignment="1">
      <alignment vertical="top"/>
    </xf>
    <xf numFmtId="0" fontId="4" fillId="3" borderId="0" xfId="0" applyFont="1" applyFill="1" applyAlignment="1">
      <alignment vertical="top"/>
    </xf>
    <xf numFmtId="0" fontId="4" fillId="0" borderId="0" xfId="0" applyFont="1" applyAlignment="1">
      <alignment vertical="top"/>
    </xf>
    <xf numFmtId="0" fontId="4" fillId="0" borderId="8" xfId="0" applyFont="1" applyBorder="1" applyAlignment="1"/>
    <xf numFmtId="0" fontId="4" fillId="0" borderId="4" xfId="0" applyFont="1" applyBorder="1" applyAlignment="1">
      <alignment vertical="top" wrapText="1"/>
    </xf>
    <xf numFmtId="0" fontId="2" fillId="4" borderId="1" xfId="0" applyFont="1" applyFill="1" applyBorder="1" applyAlignment="1"/>
    <xf numFmtId="0" fontId="1" fillId="0" borderId="9" xfId="0" applyFont="1" applyBorder="1"/>
    <xf numFmtId="0" fontId="1" fillId="0" borderId="4" xfId="0" applyFont="1" applyBorder="1"/>
    <xf numFmtId="0" fontId="1" fillId="0" borderId="8" xfId="0" applyFont="1" applyBorder="1"/>
    <xf numFmtId="0" fontId="4" fillId="0" borderId="9" xfId="0" applyFont="1" applyBorder="1" applyAlignment="1"/>
    <xf numFmtId="0" fontId="4" fillId="0" borderId="0" xfId="0" applyFont="1" applyAlignment="1"/>
    <xf numFmtId="0" fontId="9" fillId="0" borderId="8" xfId="0" applyFont="1" applyBorder="1" applyAlignment="1">
      <alignment wrapText="1"/>
    </xf>
    <xf numFmtId="0" fontId="2" fillId="0" borderId="0" xfId="0" applyFont="1" applyAlignment="1"/>
    <xf numFmtId="0" fontId="1" fillId="0" borderId="13" xfId="0" applyFont="1" applyBorder="1"/>
    <xf numFmtId="0" fontId="1" fillId="0" borderId="19" xfId="0" applyFont="1" applyBorder="1"/>
    <xf numFmtId="0" fontId="11" fillId="0" borderId="20" xfId="0" applyFont="1" applyBorder="1" applyAlignment="1">
      <alignment vertical="top"/>
    </xf>
    <xf numFmtId="0" fontId="12" fillId="0" borderId="8" xfId="0" applyFont="1" applyBorder="1" applyAlignment="1"/>
    <xf numFmtId="0" fontId="13" fillId="0" borderId="8" xfId="0" applyFont="1" applyBorder="1" applyAlignment="1">
      <alignment vertical="top"/>
    </xf>
    <xf numFmtId="0" fontId="1" fillId="0" borderId="10" xfId="0" applyFont="1" applyBorder="1"/>
    <xf numFmtId="0" fontId="2" fillId="3" borderId="11" xfId="0" applyFont="1" applyFill="1" applyBorder="1" applyAlignment="1">
      <alignment vertical="top" wrapText="1"/>
    </xf>
    <xf numFmtId="0" fontId="1" fillId="3" borderId="24" xfId="0" applyFont="1" applyFill="1" applyBorder="1"/>
    <xf numFmtId="0" fontId="4" fillId="0" borderId="8" xfId="0" applyFont="1" applyBorder="1" applyAlignment="1">
      <alignment vertical="top" wrapText="1"/>
    </xf>
    <xf numFmtId="0" fontId="4" fillId="0" borderId="4" xfId="0" applyFont="1" applyBorder="1" applyAlignment="1">
      <alignment vertical="top"/>
    </xf>
    <xf numFmtId="0" fontId="4" fillId="0" borderId="4" xfId="0" applyFont="1" applyBorder="1" applyAlignment="1"/>
    <xf numFmtId="0" fontId="14" fillId="0" borderId="4" xfId="0" applyFont="1" applyBorder="1" applyAlignment="1">
      <alignment horizontal="left"/>
    </xf>
    <xf numFmtId="0" fontId="4" fillId="0" borderId="9" xfId="0" applyFont="1" applyBorder="1" applyAlignment="1">
      <alignment horizontal="left"/>
    </xf>
    <xf numFmtId="0" fontId="15" fillId="0" borderId="8" xfId="0" applyFont="1" applyBorder="1" applyAlignment="1">
      <alignment horizontal="left"/>
    </xf>
    <xf numFmtId="0" fontId="4" fillId="0" borderId="8" xfId="0" applyFont="1" applyBorder="1" applyAlignment="1"/>
    <xf numFmtId="0" fontId="1" fillId="0" borderId="17" xfId="0" applyFont="1" applyBorder="1"/>
    <xf numFmtId="0" fontId="16" fillId="0" borderId="17" xfId="0" applyFont="1" applyBorder="1" applyAlignment="1">
      <alignment vertical="top"/>
    </xf>
    <xf numFmtId="0" fontId="2" fillId="3" borderId="24" xfId="0" applyFont="1" applyFill="1" applyBorder="1" applyAlignment="1">
      <alignment horizontal="left"/>
    </xf>
    <xf numFmtId="0" fontId="4" fillId="0" borderId="4" xfId="0" applyFont="1" applyBorder="1" applyAlignment="1"/>
    <xf numFmtId="0" fontId="17" fillId="0" borderId="9" xfId="0" applyFont="1" applyBorder="1" applyAlignment="1">
      <alignment horizontal="left" wrapText="1"/>
    </xf>
    <xf numFmtId="0" fontId="4" fillId="0" borderId="9" xfId="0" applyFont="1" applyBorder="1" applyAlignment="1"/>
    <xf numFmtId="0" fontId="2" fillId="7" borderId="1" xfId="0" applyFont="1" applyFill="1" applyBorder="1" applyAlignment="1"/>
    <xf numFmtId="0" fontId="4" fillId="0" borderId="4" xfId="0" applyFont="1" applyBorder="1" applyAlignment="1"/>
    <xf numFmtId="0" fontId="18" fillId="0" borderId="9" xfId="0" applyFont="1" applyBorder="1" applyAlignment="1">
      <alignment horizontal="left"/>
    </xf>
    <xf numFmtId="0" fontId="19" fillId="0" borderId="9" xfId="0" applyFont="1" applyBorder="1" applyAlignment="1">
      <alignment vertical="top"/>
    </xf>
    <xf numFmtId="0" fontId="20" fillId="0" borderId="0" xfId="0" applyFont="1" applyAlignment="1"/>
    <xf numFmtId="0" fontId="21" fillId="6" borderId="9" xfId="0" applyFont="1" applyFill="1" applyBorder="1" applyAlignment="1">
      <alignment vertical="top"/>
    </xf>
    <xf numFmtId="0" fontId="22" fillId="0" borderId="0" xfId="0" applyFont="1" applyAlignment="1">
      <alignment horizontal="left"/>
    </xf>
    <xf numFmtId="0" fontId="23" fillId="6" borderId="0" xfId="0" applyFont="1" applyFill="1" applyAlignment="1">
      <alignment vertical="top"/>
    </xf>
    <xf numFmtId="0" fontId="25" fillId="0" borderId="17" xfId="0" applyFont="1" applyBorder="1" applyAlignment="1"/>
    <xf numFmtId="0" fontId="26" fillId="0" borderId="4" xfId="0" applyFont="1" applyBorder="1" applyAlignment="1">
      <alignment vertical="top"/>
    </xf>
    <xf numFmtId="0" fontId="2" fillId="3" borderId="19" xfId="0" applyFont="1" applyFill="1" applyBorder="1" applyAlignment="1">
      <alignment vertical="top" wrapText="1"/>
    </xf>
    <xf numFmtId="0" fontId="1" fillId="3" borderId="30" xfId="0" applyFont="1" applyFill="1" applyBorder="1"/>
    <xf numFmtId="0" fontId="2" fillId="3" borderId="30" xfId="0" applyFont="1" applyFill="1" applyBorder="1" applyAlignment="1">
      <alignment horizontal="left"/>
    </xf>
    <xf numFmtId="0" fontId="4" fillId="0" borderId="0" xfId="0" applyFont="1" applyAlignment="1">
      <alignment vertical="top" wrapText="1"/>
    </xf>
    <xf numFmtId="0" fontId="27" fillId="0" borderId="9" xfId="0" applyFont="1" applyBorder="1" applyAlignment="1">
      <alignment wrapText="1"/>
    </xf>
    <xf numFmtId="0" fontId="28" fillId="0" borderId="4" xfId="0" applyFont="1" applyBorder="1" applyAlignment="1"/>
    <xf numFmtId="0" fontId="4" fillId="0" borderId="8" xfId="0" applyFont="1" applyBorder="1" applyAlignment="1"/>
    <xf numFmtId="0" fontId="4" fillId="0" borderId="10" xfId="0" applyFont="1" applyBorder="1" applyAlignment="1"/>
    <xf numFmtId="0" fontId="1" fillId="0" borderId="0" xfId="0" applyFont="1" applyAlignment="1"/>
    <xf numFmtId="0" fontId="1" fillId="0" borderId="19" xfId="0" applyFont="1" applyBorder="1" applyAlignment="1"/>
    <xf numFmtId="0" fontId="4" fillId="0" borderId="10" xfId="0" applyFont="1" applyBorder="1" applyAlignment="1"/>
    <xf numFmtId="0" fontId="4" fillId="0" borderId="21" xfId="0" applyFont="1" applyBorder="1" applyAlignment="1"/>
    <xf numFmtId="0" fontId="2" fillId="4" borderId="40" xfId="0" applyFont="1" applyFill="1" applyBorder="1" applyAlignment="1"/>
    <xf numFmtId="0" fontId="4" fillId="0" borderId="17" xfId="0" applyFont="1" applyBorder="1" applyAlignment="1"/>
    <xf numFmtId="0" fontId="4" fillId="0" borderId="28" xfId="0" applyFont="1" applyBorder="1" applyAlignment="1">
      <alignment wrapText="1"/>
    </xf>
    <xf numFmtId="0" fontId="29" fillId="0" borderId="9" xfId="0" applyFont="1" applyBorder="1" applyAlignment="1"/>
    <xf numFmtId="0" fontId="30" fillId="0" borderId="19" xfId="0" applyFont="1" applyBorder="1" applyAlignment="1"/>
    <xf numFmtId="0" fontId="31" fillId="0" borderId="0" xfId="0" applyFont="1" applyAlignment="1">
      <alignment wrapText="1"/>
    </xf>
    <xf numFmtId="0" fontId="32" fillId="0" borderId="8" xfId="0" applyFont="1" applyBorder="1" applyAlignment="1">
      <alignment wrapText="1"/>
    </xf>
    <xf numFmtId="0" fontId="2" fillId="0" borderId="8" xfId="0" applyFont="1" applyBorder="1" applyAlignment="1">
      <alignment vertical="top"/>
    </xf>
    <xf numFmtId="0" fontId="2" fillId="3" borderId="11" xfId="0" applyFont="1" applyFill="1" applyBorder="1" applyAlignment="1">
      <alignment horizontal="left"/>
    </xf>
    <xf numFmtId="0" fontId="1" fillId="0" borderId="28" xfId="0" applyFont="1" applyBorder="1"/>
    <xf numFmtId="0" fontId="1" fillId="0" borderId="37" xfId="0" applyFont="1" applyBorder="1"/>
    <xf numFmtId="0" fontId="4" fillId="0" borderId="9" xfId="0" applyFont="1" applyBorder="1" applyAlignment="1"/>
    <xf numFmtId="0" fontId="4" fillId="0" borderId="9" xfId="0" applyFont="1" applyBorder="1" applyAlignment="1"/>
    <xf numFmtId="0" fontId="33" fillId="0" borderId="13" xfId="0" applyFont="1" applyBorder="1" applyAlignment="1"/>
    <xf numFmtId="0" fontId="4" fillId="0" borderId="4" xfId="0" applyFont="1" applyBorder="1"/>
    <xf numFmtId="0" fontId="4" fillId="0" borderId="9" xfId="0" applyFont="1" applyBorder="1"/>
    <xf numFmtId="0" fontId="4" fillId="0" borderId="4" xfId="0" applyFont="1" applyBorder="1" applyAlignment="1">
      <alignment vertical="top"/>
    </xf>
    <xf numFmtId="0" fontId="34" fillId="0" borderId="8" xfId="0" applyFont="1" applyBorder="1" applyAlignment="1">
      <alignment horizontal="left" vertical="top"/>
    </xf>
    <xf numFmtId="0" fontId="4" fillId="0" borderId="8" xfId="0" applyFont="1" applyBorder="1" applyAlignment="1">
      <alignment vertical="top"/>
    </xf>
    <xf numFmtId="0" fontId="35" fillId="0" borderId="13" xfId="0" applyFont="1" applyBorder="1" applyAlignment="1">
      <alignment vertical="top"/>
    </xf>
    <xf numFmtId="0" fontId="36" fillId="0" borderId="4" xfId="0" applyFont="1" applyBorder="1" applyAlignment="1">
      <alignment vertical="top" wrapText="1"/>
    </xf>
    <xf numFmtId="0" fontId="1" fillId="0" borderId="20" xfId="0" applyFont="1" applyBorder="1"/>
    <xf numFmtId="0" fontId="37" fillId="0" borderId="0" xfId="0" applyFont="1" applyAlignment="1">
      <alignment vertical="top"/>
    </xf>
    <xf numFmtId="0" fontId="38" fillId="0" borderId="0" xfId="0" applyFont="1" applyAlignment="1">
      <alignment vertical="top"/>
    </xf>
    <xf numFmtId="0" fontId="39" fillId="0" borderId="9" xfId="0" applyFont="1" applyBorder="1" applyAlignment="1">
      <alignment horizontal="left" vertical="top" wrapText="1"/>
    </xf>
    <xf numFmtId="0" fontId="1" fillId="0" borderId="27" xfId="0" applyFont="1" applyBorder="1"/>
    <xf numFmtId="0" fontId="2" fillId="4" borderId="1" xfId="0" applyFont="1" applyFill="1" applyBorder="1" applyAlignment="1"/>
    <xf numFmtId="0" fontId="2" fillId="4" borderId="1" xfId="0" applyFont="1" applyFill="1" applyBorder="1" applyAlignment="1">
      <alignment vertical="top" wrapText="1"/>
    </xf>
    <xf numFmtId="0" fontId="4" fillId="0" borderId="10" xfId="0" applyFont="1" applyBorder="1" applyAlignment="1">
      <alignment vertical="top"/>
    </xf>
    <xf numFmtId="0" fontId="4" fillId="0" borderId="4" xfId="0" applyFont="1" applyBorder="1" applyAlignment="1"/>
    <xf numFmtId="0" fontId="4" fillId="0" borderId="4" xfId="0" applyFont="1" applyBorder="1" applyAlignment="1">
      <alignment vertical="top"/>
    </xf>
    <xf numFmtId="0" fontId="1" fillId="3" borderId="24" xfId="0" applyFont="1" applyFill="1" applyBorder="1" applyAlignment="1"/>
    <xf numFmtId="0" fontId="2" fillId="3" borderId="45" xfId="0" applyFont="1" applyFill="1" applyBorder="1" applyAlignment="1">
      <alignment vertical="top" wrapText="1"/>
    </xf>
    <xf numFmtId="0" fontId="1" fillId="0" borderId="9" xfId="0" applyFont="1" applyBorder="1" applyAlignment="1"/>
    <xf numFmtId="0" fontId="40" fillId="0" borderId="9" xfId="0" applyFont="1" applyBorder="1" applyAlignment="1">
      <alignment vertical="top"/>
    </xf>
    <xf numFmtId="0" fontId="1" fillId="0" borderId="13" xfId="0" applyFont="1" applyBorder="1" applyAlignment="1"/>
    <xf numFmtId="0" fontId="2" fillId="3" borderId="24" xfId="0" applyFont="1" applyFill="1" applyBorder="1" applyAlignment="1">
      <alignment vertical="top" wrapText="1"/>
    </xf>
    <xf numFmtId="0" fontId="1" fillId="0" borderId="43" xfId="0" applyFont="1" applyBorder="1" applyAlignment="1"/>
    <xf numFmtId="0" fontId="4" fillId="0" borderId="0" xfId="0" applyFont="1"/>
    <xf numFmtId="0" fontId="4" fillId="0" borderId="4" xfId="0" applyFont="1" applyBorder="1" applyAlignment="1">
      <alignment wrapText="1"/>
    </xf>
    <xf numFmtId="0" fontId="4" fillId="0" borderId="4" xfId="0" applyFont="1" applyBorder="1" applyAlignment="1">
      <alignment vertical="top" wrapText="1"/>
    </xf>
    <xf numFmtId="0" fontId="4" fillId="0" borderId="4" xfId="0" applyFont="1" applyBorder="1" applyAlignment="1">
      <alignment wrapText="1"/>
    </xf>
    <xf numFmtId="0" fontId="4" fillId="0" borderId="4" xfId="0" applyFont="1" applyBorder="1" applyAlignment="1"/>
    <xf numFmtId="0" fontId="24" fillId="6" borderId="21" xfId="0" applyFont="1" applyFill="1" applyBorder="1" applyAlignment="1"/>
    <xf numFmtId="0" fontId="1" fillId="0" borderId="4" xfId="0" applyFont="1" applyBorder="1" applyAlignment="1"/>
    <xf numFmtId="0" fontId="4" fillId="0" borderId="17" xfId="0" applyFont="1" applyBorder="1" applyAlignment="1"/>
    <xf numFmtId="0" fontId="6" fillId="0" borderId="4" xfId="0" applyFont="1" applyBorder="1" applyAlignment="1"/>
    <xf numFmtId="0" fontId="3" fillId="4" borderId="1" xfId="0" applyFont="1" applyFill="1" applyBorder="1" applyAlignment="1">
      <alignment horizontal="left"/>
    </xf>
    <xf numFmtId="0" fontId="42" fillId="0" borderId="13" xfId="0" applyFont="1" applyBorder="1" applyAlignment="1"/>
    <xf numFmtId="0" fontId="43" fillId="0" borderId="9" xfId="0" applyFont="1" applyBorder="1" applyAlignment="1"/>
    <xf numFmtId="0" fontId="44" fillId="0" borderId="9" xfId="0" applyFont="1" applyBorder="1" applyAlignment="1"/>
    <xf numFmtId="0" fontId="4" fillId="0" borderId="37" xfId="0" applyFont="1" applyBorder="1" applyAlignment="1"/>
    <xf numFmtId="0" fontId="0" fillId="0" borderId="0" xfId="0" applyFont="1" applyAlignment="1">
      <alignment wrapText="1"/>
    </xf>
    <xf numFmtId="0" fontId="1" fillId="3" borderId="5" xfId="0" applyFont="1" applyFill="1" applyBorder="1" applyAlignment="1">
      <alignment wrapText="1"/>
    </xf>
    <xf numFmtId="0" fontId="1" fillId="3" borderId="23" xfId="0" applyFont="1" applyFill="1" applyBorder="1" applyAlignment="1">
      <alignment wrapText="1"/>
    </xf>
    <xf numFmtId="0" fontId="1" fillId="3" borderId="29" xfId="0" applyFont="1" applyFill="1" applyBorder="1" applyAlignment="1">
      <alignment wrapText="1"/>
    </xf>
    <xf numFmtId="0" fontId="4" fillId="0" borderId="17" xfId="0" applyFont="1" applyBorder="1" applyAlignment="1">
      <alignment wrapText="1"/>
    </xf>
    <xf numFmtId="0" fontId="1" fillId="0" borderId="4" xfId="0" applyFont="1" applyBorder="1" applyAlignment="1">
      <alignment wrapText="1"/>
    </xf>
    <xf numFmtId="0" fontId="1" fillId="0" borderId="8" xfId="0" applyFont="1" applyBorder="1" applyAlignment="1">
      <alignment wrapText="1"/>
    </xf>
    <xf numFmtId="0" fontId="4" fillId="0" borderId="8" xfId="0" applyFont="1" applyBorder="1" applyAlignment="1">
      <alignment wrapText="1"/>
    </xf>
    <xf numFmtId="0" fontId="1" fillId="3" borderId="24" xfId="0" applyFont="1" applyFill="1" applyBorder="1" applyAlignment="1">
      <alignment wrapText="1"/>
    </xf>
    <xf numFmtId="0" fontId="45" fillId="0" borderId="0" xfId="0" applyFont="1" applyAlignment="1">
      <alignment vertical="top"/>
    </xf>
    <xf numFmtId="0" fontId="45" fillId="0" borderId="17" xfId="0" applyFont="1" applyBorder="1" applyAlignment="1">
      <alignment vertical="top"/>
    </xf>
    <xf numFmtId="0" fontId="45" fillId="0" borderId="4" xfId="0" applyFont="1" applyBorder="1" applyAlignment="1">
      <alignment vertical="top"/>
    </xf>
    <xf numFmtId="0" fontId="45" fillId="3" borderId="24" xfId="0" applyFont="1" applyFill="1" applyBorder="1" applyAlignment="1">
      <alignment vertical="top"/>
    </xf>
    <xf numFmtId="0" fontId="45" fillId="3" borderId="0" xfId="0" applyFont="1" applyFill="1" applyAlignment="1">
      <alignment vertical="top"/>
    </xf>
    <xf numFmtId="0" fontId="45" fillId="0" borderId="19" xfId="0" applyFont="1" applyBorder="1" applyAlignment="1">
      <alignment vertical="top"/>
    </xf>
    <xf numFmtId="0" fontId="45" fillId="0" borderId="8" xfId="0" applyFont="1" applyBorder="1" applyAlignment="1">
      <alignment vertical="top" wrapText="1"/>
    </xf>
    <xf numFmtId="0" fontId="45" fillId="0" borderId="8" xfId="0" applyFont="1" applyBorder="1" applyAlignment="1">
      <alignment vertical="top"/>
    </xf>
    <xf numFmtId="0" fontId="45" fillId="0" borderId="13" xfId="0" applyFont="1" applyBorder="1" applyAlignment="1">
      <alignment vertical="top"/>
    </xf>
    <xf numFmtId="0" fontId="45" fillId="0" borderId="9" xfId="0" applyFont="1" applyBorder="1" applyAlignment="1">
      <alignment vertical="top"/>
    </xf>
    <xf numFmtId="0" fontId="45" fillId="3" borderId="30" xfId="0" applyFont="1" applyFill="1" applyBorder="1" applyAlignment="1">
      <alignment vertical="top"/>
    </xf>
    <xf numFmtId="0" fontId="45" fillId="3" borderId="19" xfId="0" applyFont="1" applyFill="1" applyBorder="1" applyAlignment="1">
      <alignment vertical="top"/>
    </xf>
    <xf numFmtId="0" fontId="45" fillId="0" borderId="0" xfId="0" applyFont="1" applyAlignment="1">
      <alignment vertical="top" wrapText="1"/>
    </xf>
    <xf numFmtId="0" fontId="45" fillId="0" borderId="20" xfId="0" applyFont="1" applyBorder="1" applyAlignment="1">
      <alignment vertical="top"/>
    </xf>
    <xf numFmtId="0" fontId="46" fillId="5" borderId="12" xfId="0" applyFont="1" applyFill="1" applyBorder="1" applyAlignment="1">
      <alignment horizontal="left" vertical="top" wrapText="1"/>
    </xf>
    <xf numFmtId="0" fontId="46" fillId="5" borderId="15" xfId="0" applyFont="1" applyFill="1" applyBorder="1" applyAlignment="1">
      <alignment horizontal="left" vertical="top" wrapText="1"/>
    </xf>
    <xf numFmtId="0" fontId="45" fillId="0" borderId="37" xfId="0" applyFont="1" applyBorder="1" applyAlignment="1">
      <alignment vertical="top"/>
    </xf>
    <xf numFmtId="0" fontId="45" fillId="3" borderId="6" xfId="0" applyFont="1" applyFill="1" applyBorder="1" applyAlignment="1">
      <alignment vertical="top"/>
    </xf>
    <xf numFmtId="0" fontId="45" fillId="0" borderId="10" xfId="0" applyFont="1" applyBorder="1" applyAlignment="1">
      <alignment vertical="top" wrapText="1"/>
    </xf>
    <xf numFmtId="0" fontId="45" fillId="3" borderId="46" xfId="0" applyFont="1" applyFill="1" applyBorder="1" applyAlignment="1">
      <alignment vertical="top"/>
    </xf>
    <xf numFmtId="0" fontId="45" fillId="0" borderId="33" xfId="0" applyFont="1" applyBorder="1" applyAlignment="1">
      <alignment vertical="top"/>
    </xf>
    <xf numFmtId="0" fontId="45" fillId="0" borderId="33" xfId="0" applyFont="1" applyBorder="1" applyAlignment="1">
      <alignment vertical="top" wrapText="1"/>
    </xf>
    <xf numFmtId="0" fontId="45" fillId="0" borderId="43" xfId="0" applyFont="1" applyBorder="1" applyAlignment="1">
      <alignment vertical="top"/>
    </xf>
    <xf numFmtId="0" fontId="45" fillId="0" borderId="37" xfId="0" applyFont="1" applyBorder="1" applyAlignment="1">
      <alignment vertical="top" wrapText="1"/>
    </xf>
    <xf numFmtId="0" fontId="45" fillId="0" borderId="20" xfId="0" applyFont="1" applyBorder="1" applyAlignment="1">
      <alignment vertical="top" wrapText="1"/>
    </xf>
    <xf numFmtId="0" fontId="45" fillId="0" borderId="4" xfId="0" applyFont="1" applyBorder="1" applyAlignment="1">
      <alignment vertical="top" wrapText="1"/>
    </xf>
    <xf numFmtId="0" fontId="45" fillId="0" borderId="7" xfId="0" applyFont="1" applyBorder="1" applyAlignment="1">
      <alignment vertical="top" wrapText="1"/>
    </xf>
    <xf numFmtId="0" fontId="45" fillId="0" borderId="26" xfId="0" applyFont="1" applyBorder="1" applyAlignment="1">
      <alignment vertical="top" wrapText="1"/>
    </xf>
    <xf numFmtId="0" fontId="45" fillId="0" borderId="28" xfId="0" applyFont="1" applyBorder="1" applyAlignment="1">
      <alignment vertical="top" wrapText="1"/>
    </xf>
    <xf numFmtId="0" fontId="45" fillId="0" borderId="28" xfId="0" applyFont="1" applyBorder="1" applyAlignment="1">
      <alignment vertical="top"/>
    </xf>
    <xf numFmtId="0" fontId="2" fillId="0" borderId="1"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xf numFmtId="0" fontId="2" fillId="2" borderId="53" xfId="0" applyFont="1" applyFill="1" applyBorder="1" applyAlignment="1">
      <alignment vertical="top" wrapText="1"/>
    </xf>
    <xf numFmtId="0" fontId="4" fillId="3" borderId="54" xfId="0" applyFont="1" applyFill="1" applyBorder="1" applyAlignment="1">
      <alignment vertical="top"/>
    </xf>
    <xf numFmtId="0" fontId="45" fillId="3" borderId="54" xfId="0" applyFont="1" applyFill="1" applyBorder="1" applyAlignment="1">
      <alignment vertical="top"/>
    </xf>
    <xf numFmtId="0" fontId="45" fillId="3" borderId="52" xfId="0" applyFont="1" applyFill="1" applyBorder="1" applyAlignment="1">
      <alignment vertical="top"/>
    </xf>
    <xf numFmtId="0" fontId="45" fillId="5" borderId="59" xfId="0" applyFont="1" applyFill="1" applyBorder="1" applyAlignment="1">
      <alignment vertical="top"/>
    </xf>
    <xf numFmtId="0" fontId="45" fillId="5" borderId="56" xfId="0" applyFont="1" applyFill="1" applyBorder="1" applyAlignment="1">
      <alignment vertical="top"/>
    </xf>
    <xf numFmtId="0" fontId="45" fillId="3" borderId="61" xfId="0" applyFont="1" applyFill="1" applyBorder="1" applyAlignment="1">
      <alignment vertical="top"/>
    </xf>
    <xf numFmtId="0" fontId="1" fillId="0" borderId="54" xfId="0" applyFont="1" applyBorder="1" applyAlignment="1">
      <alignment vertical="top"/>
    </xf>
    <xf numFmtId="0" fontId="0" fillId="0" borderId="54" xfId="0" applyFont="1" applyBorder="1" applyAlignment="1"/>
    <xf numFmtId="0" fontId="46" fillId="5" borderId="0" xfId="0" applyFont="1" applyFill="1" applyBorder="1" applyAlignment="1">
      <alignment horizontal="left" vertical="top" wrapText="1"/>
    </xf>
    <xf numFmtId="0" fontId="46" fillId="5" borderId="51" xfId="0" applyFont="1" applyFill="1" applyBorder="1" applyAlignment="1">
      <alignment horizontal="left" vertical="top" wrapText="1"/>
    </xf>
    <xf numFmtId="0" fontId="2" fillId="2" borderId="3" xfId="0" applyFont="1" applyFill="1" applyBorder="1" applyAlignment="1">
      <alignment horizontal="center" vertical="top" wrapText="1"/>
    </xf>
    <xf numFmtId="0" fontId="4" fillId="3" borderId="7" xfId="0" applyFont="1" applyFill="1" applyBorder="1" applyAlignment="1">
      <alignment horizontal="center" vertical="top"/>
    </xf>
    <xf numFmtId="0" fontId="45" fillId="3" borderId="7" xfId="0" applyFont="1" applyFill="1" applyBorder="1" applyAlignment="1">
      <alignment horizontal="center" vertical="top"/>
    </xf>
    <xf numFmtId="0" fontId="45" fillId="3" borderId="31" xfId="0" applyFont="1" applyFill="1" applyBorder="1" applyAlignment="1">
      <alignment horizontal="center" vertical="top"/>
    </xf>
    <xf numFmtId="0" fontId="45" fillId="5" borderId="14" xfId="0" applyFont="1" applyFill="1" applyBorder="1" applyAlignment="1">
      <alignment horizontal="center"/>
    </xf>
    <xf numFmtId="0" fontId="45" fillId="5" borderId="7" xfId="0" applyFont="1" applyFill="1" applyBorder="1" applyAlignment="1">
      <alignment horizontal="center"/>
    </xf>
    <xf numFmtId="0" fontId="45" fillId="3" borderId="47" xfId="0" applyFont="1" applyFill="1" applyBorder="1" applyAlignment="1">
      <alignment horizontal="center" vertical="top"/>
    </xf>
    <xf numFmtId="0" fontId="0" fillId="0" borderId="0" xfId="0" applyFont="1" applyAlignment="1">
      <alignment horizontal="center"/>
    </xf>
    <xf numFmtId="0" fontId="45" fillId="3" borderId="62" xfId="0" applyFont="1" applyFill="1" applyBorder="1" applyAlignment="1">
      <alignment vertical="top"/>
    </xf>
    <xf numFmtId="0" fontId="45" fillId="3" borderId="0" xfId="0" applyFont="1" applyFill="1" applyBorder="1" applyAlignment="1">
      <alignment vertical="top"/>
    </xf>
    <xf numFmtId="0" fontId="45" fillId="3" borderId="51" xfId="0" applyFont="1" applyFill="1" applyBorder="1" applyAlignment="1">
      <alignment vertical="top"/>
    </xf>
    <xf numFmtId="0" fontId="45" fillId="0" borderId="71" xfId="0" applyFont="1" applyBorder="1" applyAlignment="1">
      <alignment vertical="top" wrapText="1"/>
    </xf>
    <xf numFmtId="0" fontId="51" fillId="6" borderId="69" xfId="0" applyFont="1" applyFill="1" applyBorder="1" applyAlignment="1">
      <alignment horizontal="left" vertical="top"/>
    </xf>
    <xf numFmtId="0" fontId="1" fillId="0" borderId="9" xfId="0" applyNumberFormat="1" applyFont="1" applyBorder="1"/>
    <xf numFmtId="0" fontId="4" fillId="0" borderId="0" xfId="0" applyNumberFormat="1" applyFont="1" applyAlignment="1">
      <alignment vertical="top"/>
    </xf>
    <xf numFmtId="0" fontId="7" fillId="0" borderId="8" xfId="0" applyNumberFormat="1" applyFont="1" applyBorder="1" applyAlignment="1">
      <alignment vertical="top"/>
    </xf>
    <xf numFmtId="0" fontId="8" fillId="0" borderId="8" xfId="0" applyNumberFormat="1" applyFont="1" applyBorder="1" applyAlignment="1">
      <alignment vertical="top"/>
    </xf>
    <xf numFmtId="0" fontId="9" fillId="0" borderId="8" xfId="0" applyNumberFormat="1" applyFont="1" applyBorder="1" applyAlignment="1">
      <alignment wrapText="1"/>
    </xf>
    <xf numFmtId="0" fontId="1" fillId="0" borderId="4" xfId="0" applyNumberFormat="1" applyFont="1" applyBorder="1"/>
    <xf numFmtId="0" fontId="10" fillId="0" borderId="8" xfId="0" applyNumberFormat="1" applyFont="1" applyBorder="1" applyAlignment="1"/>
    <xf numFmtId="0" fontId="4" fillId="0" borderId="4" xfId="0" applyNumberFormat="1" applyFont="1" applyBorder="1" applyAlignment="1"/>
    <xf numFmtId="0" fontId="56" fillId="0" borderId="17" xfId="1" applyFont="1" applyBorder="1" applyAlignment="1"/>
    <xf numFmtId="0" fontId="56" fillId="0" borderId="4" xfId="1" applyFont="1" applyBorder="1" applyAlignment="1"/>
    <xf numFmtId="0" fontId="56" fillId="0" borderId="9" xfId="1" applyFont="1" applyBorder="1" applyAlignment="1">
      <alignment vertical="top"/>
    </xf>
    <xf numFmtId="0" fontId="56" fillId="0" borderId="9" xfId="1" applyFont="1" applyBorder="1" applyAlignment="1">
      <alignment wrapText="1"/>
    </xf>
    <xf numFmtId="0" fontId="56" fillId="0" borderId="0" xfId="1" applyFont="1" applyAlignment="1"/>
    <xf numFmtId="0" fontId="58" fillId="0" borderId="4" xfId="0" applyFont="1" applyBorder="1" applyAlignment="1"/>
    <xf numFmtId="0" fontId="56" fillId="0" borderId="4" xfId="1" applyFont="1" applyBorder="1" applyAlignment="1">
      <alignment wrapText="1"/>
    </xf>
    <xf numFmtId="0" fontId="59" fillId="0" borderId="4" xfId="0" applyFont="1" applyBorder="1" applyAlignment="1"/>
    <xf numFmtId="0" fontId="56" fillId="0" borderId="9" xfId="1" applyFont="1" applyBorder="1" applyAlignment="1"/>
    <xf numFmtId="0" fontId="59" fillId="0" borderId="0" xfId="0" applyFont="1" applyAlignment="1"/>
    <xf numFmtId="0" fontId="45" fillId="0" borderId="11" xfId="0" applyFont="1" applyBorder="1" applyAlignment="1">
      <alignment vertical="top" wrapText="1"/>
    </xf>
    <xf numFmtId="0" fontId="0" fillId="0" borderId="91" xfId="0" applyFont="1" applyBorder="1" applyAlignment="1"/>
    <xf numFmtId="0" fontId="0" fillId="0" borderId="77" xfId="0" applyFont="1" applyBorder="1" applyAlignment="1"/>
    <xf numFmtId="0" fontId="0" fillId="0" borderId="0" xfId="0" applyFont="1" applyAlignment="1"/>
    <xf numFmtId="0" fontId="11" fillId="0" borderId="94" xfId="0" applyFont="1" applyBorder="1" applyAlignment="1">
      <alignment vertical="top"/>
    </xf>
    <xf numFmtId="0" fontId="12" fillId="0" borderId="77" xfId="0" applyFont="1" applyBorder="1" applyAlignment="1"/>
    <xf numFmtId="0" fontId="56" fillId="0" borderId="77" xfId="1" applyFont="1" applyBorder="1" applyAlignment="1">
      <alignment vertical="top"/>
    </xf>
    <xf numFmtId="0" fontId="1" fillId="0" borderId="77" xfId="0" applyFont="1" applyBorder="1"/>
    <xf numFmtId="0" fontId="49" fillId="0" borderId="77" xfId="0" applyFont="1" applyBorder="1" applyAlignment="1">
      <alignment vertical="top"/>
    </xf>
    <xf numFmtId="0" fontId="50" fillId="6" borderId="95" xfId="0" applyFont="1" applyFill="1" applyBorder="1" applyAlignment="1">
      <alignment vertical="top"/>
    </xf>
    <xf numFmtId="0" fontId="45" fillId="0" borderId="91" xfId="0" applyFont="1" applyBorder="1" applyAlignment="1">
      <alignment vertical="top"/>
    </xf>
    <xf numFmtId="0" fontId="45" fillId="0" borderId="77" xfId="0" applyFont="1" applyBorder="1" applyAlignment="1">
      <alignment vertical="top"/>
    </xf>
    <xf numFmtId="0" fontId="1" fillId="0" borderId="94" xfId="0" applyFont="1" applyBorder="1"/>
    <xf numFmtId="0" fontId="0" fillId="0" borderId="93" xfId="0" applyFont="1" applyBorder="1" applyAlignment="1"/>
    <xf numFmtId="0" fontId="45" fillId="0" borderId="77" xfId="0" applyFont="1" applyBorder="1" applyAlignment="1">
      <alignment vertical="top" wrapText="1"/>
    </xf>
    <xf numFmtId="0" fontId="45" fillId="3" borderId="11" xfId="0" applyFont="1" applyFill="1" applyBorder="1" applyAlignment="1">
      <alignment vertical="top"/>
    </xf>
    <xf numFmtId="0" fontId="48" fillId="0" borderId="77" xfId="0" applyFont="1" applyBorder="1" applyAlignment="1"/>
    <xf numFmtId="0" fontId="48" fillId="0" borderId="15" xfId="0" applyFont="1" applyBorder="1" applyAlignment="1"/>
    <xf numFmtId="0" fontId="48" fillId="0" borderId="66" xfId="0" applyFont="1" applyBorder="1" applyAlignment="1"/>
    <xf numFmtId="0" fontId="48" fillId="0" borderId="68" xfId="0" applyFont="1" applyBorder="1" applyAlignment="1"/>
    <xf numFmtId="0" fontId="48" fillId="0" borderId="56" xfId="0" applyFont="1" applyBorder="1" applyAlignment="1"/>
    <xf numFmtId="0" fontId="48" fillId="0" borderId="7" xfId="0" applyFont="1" applyBorder="1" applyAlignment="1"/>
    <xf numFmtId="0" fontId="48" fillId="0" borderId="70" xfId="0" applyFont="1" applyBorder="1" applyAlignment="1"/>
    <xf numFmtId="0" fontId="48" fillId="0" borderId="73" xfId="0" applyFont="1" applyBorder="1" applyAlignment="1"/>
    <xf numFmtId="0" fontId="2" fillId="4" borderId="98" xfId="0" applyFont="1" applyFill="1" applyBorder="1"/>
    <xf numFmtId="0" fontId="0" fillId="0" borderId="99" xfId="0" applyBorder="1"/>
    <xf numFmtId="0" fontId="0" fillId="0" borderId="54" xfId="0" applyBorder="1"/>
    <xf numFmtId="0" fontId="4" fillId="0" borderId="54" xfId="0" applyFont="1" applyBorder="1" applyAlignment="1">
      <alignment vertical="top" wrapText="1"/>
    </xf>
    <xf numFmtId="0" fontId="7" fillId="0" borderId="54" xfId="0" applyFont="1" applyBorder="1"/>
    <xf numFmtId="0" fontId="0" fillId="0" borderId="54" xfId="0" applyBorder="1" applyAlignment="1">
      <alignment horizontal="center"/>
    </xf>
    <xf numFmtId="0" fontId="56" fillId="0" borderId="54" xfId="1" applyFont="1" applyBorder="1" applyAlignment="1">
      <alignment horizontal="left"/>
    </xf>
    <xf numFmtId="0" fontId="4" fillId="0" borderId="103" xfId="0" applyFont="1" applyBorder="1" applyAlignment="1">
      <alignment vertical="top" wrapText="1"/>
    </xf>
    <xf numFmtId="0" fontId="56" fillId="0" borderId="52" xfId="1" applyFont="1" applyBorder="1"/>
    <xf numFmtId="0" fontId="56" fillId="0" borderId="54" xfId="1" applyFont="1" applyBorder="1" applyAlignment="1">
      <alignment vertical="top" wrapText="1"/>
    </xf>
    <xf numFmtId="0" fontId="56" fillId="0" borderId="54" xfId="1" applyFont="1" applyBorder="1" applyAlignment="1"/>
    <xf numFmtId="0" fontId="0" fillId="0" borderId="104" xfId="0" applyBorder="1"/>
    <xf numFmtId="0" fontId="45" fillId="0" borderId="0" xfId="0" applyFont="1" applyBorder="1" applyAlignment="1">
      <alignment horizontal="left" vertical="top" wrapText="1"/>
    </xf>
    <xf numFmtId="0" fontId="45" fillId="0" borderId="0" xfId="0" applyFont="1" applyBorder="1" applyAlignment="1">
      <alignment vertical="top" wrapText="1"/>
    </xf>
    <xf numFmtId="0" fontId="0" fillId="0" borderId="70" xfId="0" applyFont="1" applyBorder="1" applyAlignment="1"/>
    <xf numFmtId="0" fontId="56" fillId="0" borderId="70" xfId="1" applyFont="1" applyBorder="1" applyAlignment="1">
      <alignment horizontal="left"/>
    </xf>
    <xf numFmtId="0" fontId="0" fillId="0" borderId="73" xfId="0" applyFont="1" applyBorder="1" applyAlignment="1"/>
    <xf numFmtId="0" fontId="1" fillId="0" borderId="114" xfId="0" applyFont="1" applyBorder="1" applyAlignment="1">
      <alignment vertical="top" wrapText="1"/>
    </xf>
    <xf numFmtId="0" fontId="1" fillId="0" borderId="54" xfId="0" applyFont="1" applyBorder="1" applyAlignment="1">
      <alignment vertical="top" wrapText="1"/>
    </xf>
    <xf numFmtId="0" fontId="1" fillId="0" borderId="54" xfId="0" applyFont="1" applyBorder="1" applyAlignment="1">
      <alignment horizontal="left" vertical="top" wrapText="1"/>
    </xf>
    <xf numFmtId="0" fontId="1" fillId="0" borderId="104" xfId="0" applyFont="1" applyBorder="1" applyAlignment="1">
      <alignment vertical="top"/>
    </xf>
    <xf numFmtId="0" fontId="1" fillId="0" borderId="116" xfId="0" applyFont="1" applyBorder="1" applyAlignment="1">
      <alignment vertical="top"/>
    </xf>
    <xf numFmtId="0" fontId="1" fillId="0" borderId="114" xfId="0" applyFont="1" applyBorder="1" applyAlignment="1">
      <alignment vertical="top"/>
    </xf>
    <xf numFmtId="0" fontId="45" fillId="0" borderId="115" xfId="0" applyFont="1" applyBorder="1" applyAlignment="1">
      <alignment vertical="top" wrapText="1"/>
    </xf>
    <xf numFmtId="0" fontId="1" fillId="0" borderId="110" xfId="0" applyFont="1" applyBorder="1" applyAlignment="1">
      <alignment vertical="top"/>
    </xf>
    <xf numFmtId="0" fontId="1" fillId="0" borderId="122" xfId="0" applyFont="1" applyBorder="1" applyAlignment="1">
      <alignment vertical="top"/>
    </xf>
    <xf numFmtId="0" fontId="48" fillId="0" borderId="114" xfId="0" applyFont="1" applyBorder="1"/>
    <xf numFmtId="0" fontId="48" fillId="0" borderId="71" xfId="0" applyFont="1" applyBorder="1"/>
    <xf numFmtId="0" fontId="0" fillId="0" borderId="70" xfId="0" applyBorder="1"/>
    <xf numFmtId="0" fontId="60" fillId="0" borderId="54" xfId="0" applyFont="1" applyBorder="1"/>
    <xf numFmtId="0" fontId="56" fillId="0" borderId="104" xfId="1" applyFont="1" applyBorder="1" applyAlignment="1"/>
    <xf numFmtId="0" fontId="0" fillId="0" borderId="103" xfId="0" applyBorder="1"/>
    <xf numFmtId="0" fontId="56" fillId="0" borderId="70" xfId="1" applyFont="1" applyBorder="1" applyAlignment="1"/>
    <xf numFmtId="0" fontId="0" fillId="0" borderId="70" xfId="0" applyBorder="1" applyAlignment="1">
      <alignment horizontal="center"/>
    </xf>
    <xf numFmtId="0" fontId="1" fillId="0" borderId="64" xfId="0" applyFont="1" applyBorder="1" applyAlignment="1">
      <alignment vertical="top"/>
    </xf>
    <xf numFmtId="0" fontId="2" fillId="4" borderId="73" xfId="0" applyFont="1" applyFill="1" applyBorder="1"/>
    <xf numFmtId="0" fontId="4" fillId="0" borderId="70" xfId="0" applyFont="1" applyBorder="1"/>
    <xf numFmtId="0" fontId="4" fillId="0" borderId="103" xfId="0" applyFont="1" applyBorder="1"/>
    <xf numFmtId="0" fontId="1" fillId="0" borderId="123" xfId="0" applyFont="1" applyBorder="1" applyAlignment="1">
      <alignment vertical="top" wrapText="1"/>
    </xf>
    <xf numFmtId="0" fontId="0" fillId="0" borderId="0" xfId="0" applyFont="1" applyAlignment="1"/>
    <xf numFmtId="0" fontId="45" fillId="0" borderId="7" xfId="0" applyFont="1" applyFill="1" applyBorder="1" applyAlignment="1"/>
    <xf numFmtId="0" fontId="0" fillId="0" borderId="0" xfId="0" applyFont="1" applyAlignment="1"/>
    <xf numFmtId="0" fontId="1" fillId="0" borderId="88" xfId="0" applyFont="1" applyBorder="1"/>
    <xf numFmtId="0" fontId="0" fillId="0" borderId="129" xfId="0" applyFont="1" applyBorder="1" applyAlignment="1"/>
    <xf numFmtId="0" fontId="45" fillId="0" borderId="39" xfId="0" applyFont="1" applyBorder="1" applyAlignment="1">
      <alignment vertical="top"/>
    </xf>
    <xf numFmtId="0" fontId="0" fillId="0" borderId="0" xfId="0" applyFont="1" applyBorder="1" applyAlignment="1"/>
    <xf numFmtId="0" fontId="45" fillId="0" borderId="133" xfId="0" applyFont="1" applyBorder="1" applyAlignment="1">
      <alignment vertical="top"/>
    </xf>
    <xf numFmtId="0" fontId="1" fillId="0" borderId="0" xfId="0" applyFont="1" applyBorder="1"/>
    <xf numFmtId="0" fontId="45" fillId="0" borderId="0" xfId="0" applyFont="1" applyBorder="1" applyAlignment="1">
      <alignment vertical="top"/>
    </xf>
    <xf numFmtId="0" fontId="48" fillId="0" borderId="58" xfId="0" applyFont="1" applyBorder="1" applyAlignment="1"/>
    <xf numFmtId="0" fontId="48" fillId="0" borderId="62" xfId="0" applyFont="1" applyBorder="1" applyAlignment="1"/>
    <xf numFmtId="0" fontId="48" fillId="0" borderId="69" xfId="0" applyFont="1" applyBorder="1" applyAlignment="1"/>
    <xf numFmtId="0" fontId="48" fillId="0" borderId="152" xfId="0" applyFont="1" applyBorder="1" applyAlignment="1"/>
    <xf numFmtId="0" fontId="0" fillId="0" borderId="154" xfId="0" applyFont="1" applyBorder="1" applyAlignment="1"/>
    <xf numFmtId="0" fontId="45" fillId="5" borderId="27" xfId="0" applyFont="1" applyFill="1" applyBorder="1" applyAlignment="1">
      <alignment horizontal="left" vertical="top" wrapText="1"/>
    </xf>
    <xf numFmtId="0" fontId="45" fillId="5" borderId="9" xfId="0" applyFont="1" applyFill="1" applyBorder="1" applyAlignment="1">
      <alignment horizontal="left" vertical="top" wrapText="1"/>
    </xf>
    <xf numFmtId="0" fontId="45" fillId="5" borderId="146" xfId="0" applyFont="1" applyFill="1" applyBorder="1" applyAlignment="1">
      <alignment horizontal="left" vertical="top" wrapText="1"/>
    </xf>
    <xf numFmtId="0" fontId="46" fillId="5" borderId="65" xfId="0" applyFont="1" applyFill="1" applyBorder="1" applyAlignment="1">
      <alignment horizontal="center" vertical="top" wrapText="1"/>
    </xf>
    <xf numFmtId="0" fontId="46" fillId="5" borderId="66" xfId="0" applyFont="1" applyFill="1" applyBorder="1" applyAlignment="1">
      <alignment horizontal="center" vertical="top" wrapText="1"/>
    </xf>
    <xf numFmtId="0" fontId="46" fillId="5" borderId="151" xfId="0" applyFont="1" applyFill="1" applyBorder="1" applyAlignment="1">
      <alignment horizontal="center" vertical="top" wrapText="1"/>
    </xf>
    <xf numFmtId="0" fontId="45" fillId="5" borderId="9" xfId="0" applyFont="1" applyFill="1" applyBorder="1" applyAlignment="1">
      <alignment horizontal="center" vertical="top" wrapText="1"/>
    </xf>
    <xf numFmtId="0" fontId="45" fillId="5" borderId="16" xfId="0" applyFont="1" applyFill="1" applyBorder="1" applyAlignment="1">
      <alignment horizontal="center" vertical="top" wrapText="1"/>
    </xf>
    <xf numFmtId="0" fontId="47" fillId="5" borderId="71" xfId="0" applyFont="1" applyFill="1" applyBorder="1" applyAlignment="1">
      <alignment horizontal="center" vertical="center" textRotation="90" wrapText="1"/>
    </xf>
    <xf numFmtId="0" fontId="47" fillId="5" borderId="70" xfId="0" applyFont="1" applyFill="1" applyBorder="1" applyAlignment="1">
      <alignment horizontal="center" vertical="center" textRotation="90" wrapText="1"/>
    </xf>
    <xf numFmtId="0" fontId="47" fillId="5" borderId="103" xfId="0" applyFont="1" applyFill="1" applyBorder="1" applyAlignment="1">
      <alignment horizontal="center" vertical="center" textRotation="90" wrapText="1"/>
    </xf>
    <xf numFmtId="0" fontId="46" fillId="5" borderId="153" xfId="0" applyFont="1" applyFill="1" applyBorder="1" applyAlignment="1">
      <alignment horizontal="center" vertical="top" wrapText="1"/>
    </xf>
    <xf numFmtId="0" fontId="46" fillId="5" borderId="67" xfId="0" applyFont="1" applyFill="1" applyBorder="1" applyAlignment="1">
      <alignment horizontal="center" vertical="top" wrapText="1"/>
    </xf>
    <xf numFmtId="0" fontId="45" fillId="5" borderId="139" xfId="0" applyFont="1" applyFill="1" applyBorder="1" applyAlignment="1">
      <alignment horizontal="left" vertical="top" wrapText="1"/>
    </xf>
    <xf numFmtId="0" fontId="45" fillId="5" borderId="140" xfId="0" applyFont="1" applyFill="1" applyBorder="1" applyAlignment="1">
      <alignment horizontal="left" vertical="top" wrapText="1"/>
    </xf>
    <xf numFmtId="0" fontId="45" fillId="5" borderId="155" xfId="0" applyFont="1" applyFill="1" applyBorder="1" applyAlignment="1">
      <alignment horizontal="left" vertical="top" wrapText="1"/>
    </xf>
    <xf numFmtId="0" fontId="45" fillId="0" borderId="94" xfId="0" applyFont="1" applyBorder="1" applyAlignment="1">
      <alignment horizontal="left" vertical="top" wrapText="1"/>
    </xf>
    <xf numFmtId="0" fontId="45" fillId="0" borderId="77" xfId="0" applyFont="1" applyBorder="1" applyAlignment="1">
      <alignment horizontal="left" vertical="top" wrapText="1"/>
    </xf>
    <xf numFmtId="0" fontId="45" fillId="0" borderId="89" xfId="0" applyFont="1" applyBorder="1" applyAlignment="1">
      <alignment horizontal="left" vertical="top" wrapText="1"/>
    </xf>
    <xf numFmtId="0" fontId="45" fillId="0" borderId="144" xfId="0" applyFont="1" applyBorder="1" applyAlignment="1">
      <alignment horizontal="left" vertical="top" wrapText="1"/>
    </xf>
    <xf numFmtId="0" fontId="45" fillId="0" borderId="97" xfId="0" applyFont="1" applyBorder="1" applyAlignment="1">
      <alignment horizontal="left" vertical="top" wrapText="1"/>
    </xf>
    <xf numFmtId="0" fontId="45" fillId="0" borderId="91" xfId="0" applyFont="1" applyBorder="1" applyAlignment="1">
      <alignment horizontal="left" vertical="top" wrapText="1"/>
    </xf>
    <xf numFmtId="0" fontId="45" fillId="5" borderId="142" xfId="0" applyFont="1" applyFill="1" applyBorder="1" applyAlignment="1">
      <alignment horizontal="center" vertical="top" wrapText="1"/>
    </xf>
    <xf numFmtId="0" fontId="45" fillId="5" borderId="143" xfId="0" applyFont="1" applyFill="1" applyBorder="1" applyAlignment="1">
      <alignment horizontal="center" vertical="top" wrapText="1"/>
    </xf>
    <xf numFmtId="0" fontId="45" fillId="5" borderId="147" xfId="0" applyFont="1" applyFill="1" applyBorder="1" applyAlignment="1">
      <alignment horizontal="center" vertical="top" wrapText="1"/>
    </xf>
    <xf numFmtId="0" fontId="45" fillId="5" borderId="141" xfId="0" applyFont="1" applyFill="1" applyBorder="1" applyAlignment="1">
      <alignment horizontal="left" vertical="top" wrapText="1"/>
    </xf>
    <xf numFmtId="0" fontId="4" fillId="0" borderId="17" xfId="0" applyFont="1" applyBorder="1" applyAlignment="1">
      <alignment horizontal="center" wrapText="1"/>
    </xf>
    <xf numFmtId="0" fontId="4" fillId="0" borderId="4" xfId="0" applyFont="1" applyBorder="1" applyAlignment="1">
      <alignment horizontal="center" wrapText="1"/>
    </xf>
    <xf numFmtId="0" fontId="4" fillId="0" borderId="21" xfId="0" applyFont="1" applyBorder="1" applyAlignment="1">
      <alignment horizontal="center" wrapText="1"/>
    </xf>
    <xf numFmtId="0" fontId="48" fillId="0" borderId="120" xfId="0" applyFont="1" applyBorder="1" applyAlignment="1">
      <alignment horizontal="center"/>
    </xf>
    <xf numFmtId="0" fontId="48" fillId="0" borderId="70" xfId="0" applyFont="1" applyBorder="1" applyAlignment="1">
      <alignment horizontal="center"/>
    </xf>
    <xf numFmtId="0" fontId="48" fillId="0" borderId="72" xfId="0" applyFont="1" applyBorder="1" applyAlignment="1">
      <alignment horizontal="center"/>
    </xf>
    <xf numFmtId="0" fontId="45" fillId="5" borderId="135" xfId="0" applyFont="1" applyFill="1" applyBorder="1" applyAlignment="1">
      <alignment horizontal="center"/>
    </xf>
    <xf numFmtId="0" fontId="45" fillId="5" borderId="136" xfId="0" applyFont="1" applyFill="1" applyBorder="1" applyAlignment="1">
      <alignment horizontal="center"/>
    </xf>
    <xf numFmtId="0" fontId="45" fillId="5" borderId="138" xfId="0" applyFont="1" applyFill="1" applyBorder="1" applyAlignment="1">
      <alignment horizontal="center"/>
    </xf>
    <xf numFmtId="0" fontId="4" fillId="0" borderId="17" xfId="0" applyFont="1" applyBorder="1" applyAlignment="1">
      <alignment horizontal="center" vertical="top" wrapText="1"/>
    </xf>
    <xf numFmtId="0" fontId="4" fillId="0" borderId="4" xfId="0" applyFont="1" applyBorder="1" applyAlignment="1">
      <alignment horizontal="center" vertical="top" wrapText="1"/>
    </xf>
    <xf numFmtId="0" fontId="4" fillId="0" borderId="21" xfId="0" applyFont="1" applyBorder="1" applyAlignment="1">
      <alignment horizontal="center" vertical="top" wrapText="1"/>
    </xf>
    <xf numFmtId="0" fontId="4" fillId="0" borderId="17" xfId="0" applyFont="1" applyBorder="1" applyAlignment="1">
      <alignment horizontal="left" vertical="top" wrapText="1"/>
    </xf>
    <xf numFmtId="0" fontId="4" fillId="0" borderId="4" xfId="0" applyFont="1" applyBorder="1" applyAlignment="1">
      <alignment horizontal="left" vertical="top" wrapText="1"/>
    </xf>
    <xf numFmtId="0" fontId="4" fillId="0" borderId="28" xfId="0" applyFont="1" applyBorder="1" applyAlignment="1">
      <alignment horizontal="left" vertical="top" wrapText="1"/>
    </xf>
    <xf numFmtId="0" fontId="45" fillId="0" borderId="25" xfId="0" applyFont="1" applyBorder="1" applyAlignment="1">
      <alignment horizontal="left" vertical="top" wrapText="1"/>
    </xf>
    <xf numFmtId="0" fontId="45" fillId="0" borderId="8" xfId="0" applyFont="1" applyBorder="1" applyAlignment="1">
      <alignment horizontal="left" vertical="top" wrapText="1"/>
    </xf>
    <xf numFmtId="0" fontId="45" fillId="0" borderId="41" xfId="0" applyFont="1" applyBorder="1" applyAlignment="1">
      <alignment horizontal="left" vertical="top" wrapText="1"/>
    </xf>
    <xf numFmtId="0" fontId="61" fillId="0" borderId="17" xfId="0" applyFont="1" applyBorder="1" applyAlignment="1">
      <alignment horizontal="center" vertical="top" textRotation="90"/>
    </xf>
    <xf numFmtId="0" fontId="61" fillId="0" borderId="4" xfId="0" applyFont="1" applyBorder="1" applyAlignment="1">
      <alignment horizontal="center" vertical="top" textRotation="90"/>
    </xf>
    <xf numFmtId="0" fontId="45" fillId="0" borderId="17" xfId="0" applyFont="1" applyBorder="1" applyAlignment="1">
      <alignment horizontal="center" vertical="top" wrapText="1"/>
    </xf>
    <xf numFmtId="0" fontId="45" fillId="0" borderId="4" xfId="0" applyFont="1" applyBorder="1" applyAlignment="1">
      <alignment horizontal="center" vertical="top" wrapText="1"/>
    </xf>
    <xf numFmtId="0" fontId="45" fillId="0" borderId="21" xfId="0" applyFont="1" applyBorder="1" applyAlignment="1">
      <alignment horizontal="center" vertical="top" wrapText="1"/>
    </xf>
    <xf numFmtId="0" fontId="4" fillId="0" borderId="10" xfId="0" applyFont="1" applyBorder="1" applyAlignment="1">
      <alignment horizontal="center" vertical="top" wrapText="1"/>
    </xf>
    <xf numFmtId="0" fontId="45" fillId="0" borderId="10" xfId="0" applyFont="1" applyBorder="1" applyAlignment="1">
      <alignment horizontal="center" vertical="top" wrapText="1"/>
    </xf>
    <xf numFmtId="0" fontId="4" fillId="0" borderId="25" xfId="0" applyFont="1" applyBorder="1" applyAlignment="1">
      <alignment horizontal="center" vertical="top" wrapText="1"/>
    </xf>
    <xf numFmtId="0" fontId="4" fillId="0" borderId="8" xfId="0" applyFont="1" applyBorder="1" applyAlignment="1">
      <alignment horizontal="center" vertical="top" wrapText="1"/>
    </xf>
    <xf numFmtId="0" fontId="4" fillId="0" borderId="41" xfId="0" applyFont="1" applyBorder="1" applyAlignment="1">
      <alignment horizontal="center" vertical="top" wrapText="1"/>
    </xf>
    <xf numFmtId="0" fontId="47" fillId="5" borderId="80" xfId="0" applyFont="1" applyFill="1" applyBorder="1" applyAlignment="1">
      <alignment horizontal="center" vertical="center" textRotation="90" wrapText="1"/>
    </xf>
    <xf numFmtId="0" fontId="47" fillId="5" borderId="81" xfId="0" applyFont="1" applyFill="1" applyBorder="1" applyAlignment="1">
      <alignment horizontal="center" vertical="center" textRotation="90" wrapText="1"/>
    </xf>
    <xf numFmtId="0" fontId="47" fillId="5" borderId="82" xfId="0" applyFont="1" applyFill="1" applyBorder="1" applyAlignment="1">
      <alignment horizontal="center" vertical="center" textRotation="90" wrapText="1"/>
    </xf>
    <xf numFmtId="0" fontId="45" fillId="5" borderId="83" xfId="0" applyFont="1" applyFill="1" applyBorder="1" applyAlignment="1">
      <alignment vertical="top" wrapText="1"/>
    </xf>
    <xf numFmtId="0" fontId="48" fillId="0" borderId="9" xfId="0" applyFont="1" applyBorder="1"/>
    <xf numFmtId="0" fontId="45" fillId="5" borderId="56" xfId="0" applyFont="1" applyFill="1" applyBorder="1" applyAlignment="1">
      <alignment vertical="top"/>
    </xf>
    <xf numFmtId="0" fontId="48" fillId="0" borderId="56" xfId="0" applyFont="1" applyBorder="1"/>
    <xf numFmtId="0" fontId="45" fillId="5" borderId="13" xfId="0" applyFont="1" applyFill="1" applyBorder="1" applyAlignment="1">
      <alignment vertical="top" wrapText="1"/>
    </xf>
    <xf numFmtId="0" fontId="48" fillId="0" borderId="16" xfId="0" applyFont="1" applyBorder="1"/>
    <xf numFmtId="0" fontId="47" fillId="5" borderId="84" xfId="0" applyFont="1" applyFill="1" applyBorder="1" applyAlignment="1">
      <alignment horizontal="center" vertical="center" textRotation="90" wrapText="1"/>
    </xf>
    <xf numFmtId="0" fontId="48" fillId="0" borderId="62" xfId="0" applyFont="1" applyBorder="1" applyAlignment="1">
      <alignment horizontal="center"/>
    </xf>
    <xf numFmtId="0" fontId="48" fillId="0" borderId="63" xfId="0" applyFont="1" applyBorder="1" applyAlignment="1">
      <alignment horizontal="center"/>
    </xf>
    <xf numFmtId="0" fontId="45" fillId="5" borderId="27" xfId="0" applyFont="1" applyFill="1" applyBorder="1" applyAlignment="1">
      <alignment vertical="top" wrapText="1"/>
    </xf>
    <xf numFmtId="0" fontId="48" fillId="0" borderId="73" xfId="0" applyFont="1" applyBorder="1" applyAlignment="1">
      <alignment horizontal="center"/>
    </xf>
    <xf numFmtId="0" fontId="45" fillId="0" borderId="91" xfId="0" applyFont="1" applyBorder="1" applyAlignment="1">
      <alignment vertical="top" wrapText="1"/>
    </xf>
    <xf numFmtId="0" fontId="48" fillId="0" borderId="77" xfId="0" applyFont="1" applyBorder="1"/>
    <xf numFmtId="0" fontId="48" fillId="0" borderId="93" xfId="0" applyFont="1" applyBorder="1"/>
    <xf numFmtId="0" fontId="46" fillId="5" borderId="12" xfId="0" applyFont="1" applyFill="1" applyBorder="1" applyAlignment="1">
      <alignment horizontal="left" vertical="top" wrapText="1"/>
    </xf>
    <xf numFmtId="0" fontId="48" fillId="0" borderId="15" xfId="0" applyFont="1" applyBorder="1"/>
    <xf numFmtId="0" fontId="48" fillId="0" borderId="66" xfId="0" applyFont="1" applyBorder="1"/>
    <xf numFmtId="0" fontId="48" fillId="0" borderId="67" xfId="0" applyFont="1" applyBorder="1"/>
    <xf numFmtId="0" fontId="47" fillId="5" borderId="14" xfId="0" applyFont="1" applyFill="1" applyBorder="1" applyAlignment="1">
      <alignment horizontal="center" vertical="center"/>
    </xf>
    <xf numFmtId="0" fontId="48" fillId="0" borderId="7" xfId="0" applyFont="1" applyBorder="1" applyAlignment="1">
      <alignment horizontal="center"/>
    </xf>
    <xf numFmtId="0" fontId="48" fillId="0" borderId="26" xfId="0" applyFont="1" applyBorder="1" applyAlignment="1">
      <alignment horizontal="center"/>
    </xf>
    <xf numFmtId="0" fontId="45" fillId="5" borderId="7" xfId="0" applyFont="1" applyFill="1" applyBorder="1" applyAlignment="1">
      <alignment horizontal="center"/>
    </xf>
    <xf numFmtId="0" fontId="45" fillId="5" borderId="9" xfId="0" applyFont="1" applyFill="1" applyBorder="1" applyAlignment="1">
      <alignment vertical="top" wrapText="1"/>
    </xf>
    <xf numFmtId="0" fontId="48" fillId="0" borderId="58" xfId="0" applyFont="1" applyBorder="1"/>
    <xf numFmtId="0" fontId="45" fillId="0" borderId="0" xfId="0" applyFont="1" applyAlignment="1">
      <alignment vertical="top" wrapText="1"/>
    </xf>
    <xf numFmtId="0" fontId="46" fillId="0" borderId="0" xfId="0" applyFont="1" applyAlignment="1"/>
    <xf numFmtId="0" fontId="45" fillId="0" borderId="11" xfId="0" applyFont="1" applyBorder="1" applyAlignment="1">
      <alignment vertical="top" wrapText="1"/>
    </xf>
    <xf numFmtId="0" fontId="48" fillId="0" borderId="6" xfId="0" applyFont="1" applyBorder="1"/>
    <xf numFmtId="0" fontId="45" fillId="0" borderId="94" xfId="0" applyFont="1" applyBorder="1" applyAlignment="1">
      <alignment horizontal="center" vertical="top" wrapText="1"/>
    </xf>
    <xf numFmtId="0" fontId="45" fillId="0" borderId="77" xfId="0" applyFont="1" applyBorder="1" applyAlignment="1">
      <alignment horizontal="center" vertical="top" wrapText="1"/>
    </xf>
    <xf numFmtId="0" fontId="45" fillId="0" borderId="132" xfId="0" applyFont="1" applyBorder="1" applyAlignment="1">
      <alignment horizontal="center" vertical="top" wrapText="1"/>
    </xf>
    <xf numFmtId="0" fontId="45" fillId="0" borderId="94" xfId="0" applyFont="1" applyBorder="1" applyAlignment="1">
      <alignment vertical="top" wrapText="1"/>
    </xf>
    <xf numFmtId="0" fontId="45" fillId="5" borderId="33" xfId="0" applyFont="1" applyFill="1" applyBorder="1" applyAlignment="1">
      <alignment horizontal="center"/>
    </xf>
    <xf numFmtId="0" fontId="48" fillId="0" borderId="33" xfId="0" applyFont="1" applyBorder="1" applyAlignment="1">
      <alignment horizontal="center"/>
    </xf>
    <xf numFmtId="0" fontId="47" fillId="5" borderId="39" xfId="0" applyFont="1" applyFill="1" applyBorder="1" applyAlignment="1">
      <alignment horizontal="center" vertical="center"/>
    </xf>
    <xf numFmtId="0" fontId="48" fillId="0" borderId="35" xfId="0" applyFont="1" applyBorder="1" applyAlignment="1">
      <alignment horizontal="center"/>
    </xf>
    <xf numFmtId="0" fontId="48" fillId="0" borderId="79" xfId="0" applyFont="1" applyBorder="1"/>
    <xf numFmtId="0" fontId="47" fillId="5" borderId="31" xfId="0" applyFont="1" applyFill="1" applyBorder="1" applyAlignment="1">
      <alignment horizontal="center" vertical="center"/>
    </xf>
    <xf numFmtId="0" fontId="48" fillId="0" borderId="18" xfId="0" applyFont="1" applyBorder="1" applyAlignment="1">
      <alignment horizontal="center"/>
    </xf>
    <xf numFmtId="0" fontId="48" fillId="0" borderId="42" xfId="0" applyFont="1" applyBorder="1"/>
    <xf numFmtId="0" fontId="46" fillId="5" borderId="38" xfId="0" applyFont="1" applyFill="1" applyBorder="1" applyAlignment="1">
      <alignment horizontal="left" vertical="top" wrapText="1"/>
    </xf>
    <xf numFmtId="0" fontId="48" fillId="0" borderId="22" xfId="0" applyFont="1" applyBorder="1"/>
    <xf numFmtId="0" fontId="47" fillId="5" borderId="32" xfId="0" applyFont="1" applyFill="1" applyBorder="1" applyAlignment="1">
      <alignment horizontal="center" vertical="center"/>
    </xf>
    <xf numFmtId="0" fontId="48" fillId="0" borderId="34" xfId="0" applyFont="1" applyBorder="1" applyAlignment="1">
      <alignment horizontal="center"/>
    </xf>
    <xf numFmtId="0" fontId="45" fillId="5" borderId="56" xfId="0" applyFont="1" applyFill="1" applyBorder="1" applyAlignment="1">
      <alignment vertical="top" wrapText="1"/>
    </xf>
    <xf numFmtId="0" fontId="45" fillId="0" borderId="4" xfId="0" applyFont="1" applyBorder="1" applyAlignment="1">
      <alignment vertical="top" wrapText="1"/>
    </xf>
    <xf numFmtId="0" fontId="48" fillId="0" borderId="4" xfId="0" applyFont="1" applyBorder="1"/>
    <xf numFmtId="0" fontId="48" fillId="0" borderId="21" xfId="0" applyFont="1" applyBorder="1"/>
    <xf numFmtId="0" fontId="45" fillId="0" borderId="145" xfId="0" applyFont="1" applyBorder="1" applyAlignment="1">
      <alignment horizontal="left" vertical="top" wrapText="1"/>
    </xf>
    <xf numFmtId="0" fontId="46" fillId="5" borderId="142" xfId="0" applyFont="1" applyFill="1" applyBorder="1" applyAlignment="1">
      <alignment horizontal="left" vertical="top" wrapText="1"/>
    </xf>
    <xf numFmtId="0" fontId="46" fillId="5" borderId="143" xfId="0" applyFont="1" applyFill="1" applyBorder="1" applyAlignment="1">
      <alignment horizontal="left" vertical="top" wrapText="1"/>
    </xf>
    <xf numFmtId="0" fontId="45" fillId="0" borderId="20" xfId="0" applyFont="1" applyBorder="1" applyAlignment="1">
      <alignment vertical="top" wrapText="1"/>
    </xf>
    <xf numFmtId="0" fontId="48" fillId="0" borderId="8" xfId="0" applyFont="1" applyBorder="1"/>
    <xf numFmtId="0" fontId="48" fillId="0" borderId="5" xfId="0" applyFont="1" applyBorder="1"/>
    <xf numFmtId="0" fontId="45" fillId="0" borderId="76" xfId="0" applyFont="1" applyBorder="1" applyAlignment="1">
      <alignment horizontal="left" vertical="top" wrapText="1"/>
    </xf>
    <xf numFmtId="0" fontId="45" fillId="0" borderId="106" xfId="0" applyFont="1" applyBorder="1" applyAlignment="1">
      <alignment horizontal="left" vertical="top" wrapText="1"/>
    </xf>
    <xf numFmtId="0" fontId="46" fillId="5" borderId="100" xfId="0" applyFont="1" applyFill="1" applyBorder="1" applyAlignment="1">
      <alignment horizontal="left" vertical="top" wrapText="1"/>
    </xf>
    <xf numFmtId="0" fontId="46" fillId="5" borderId="102" xfId="0" applyFont="1" applyFill="1" applyBorder="1" applyAlignment="1">
      <alignment horizontal="left" vertical="top" wrapText="1"/>
    </xf>
    <xf numFmtId="0" fontId="46" fillId="5" borderId="76" xfId="0" applyFont="1" applyFill="1" applyBorder="1" applyAlignment="1">
      <alignment horizontal="left" vertical="top" wrapText="1"/>
    </xf>
    <xf numFmtId="0" fontId="46" fillId="5" borderId="106" xfId="0" applyFont="1" applyFill="1" applyBorder="1" applyAlignment="1">
      <alignment horizontal="left" vertical="top" wrapText="1"/>
    </xf>
    <xf numFmtId="0" fontId="47" fillId="5" borderId="126" xfId="0" applyFont="1" applyFill="1" applyBorder="1" applyAlignment="1">
      <alignment horizontal="center" vertical="center" textRotation="90" wrapText="1"/>
    </xf>
    <xf numFmtId="0" fontId="47" fillId="5" borderId="127" xfId="0" applyFont="1" applyFill="1" applyBorder="1" applyAlignment="1">
      <alignment horizontal="center" vertical="center" textRotation="90" wrapText="1"/>
    </xf>
    <xf numFmtId="0" fontId="47" fillId="5" borderId="102" xfId="0" applyFont="1" applyFill="1" applyBorder="1" applyAlignment="1">
      <alignment horizontal="center" vertical="center" textRotation="90" wrapText="1"/>
    </xf>
    <xf numFmtId="0" fontId="47" fillId="5" borderId="76" xfId="0" applyFont="1" applyFill="1" applyBorder="1" applyAlignment="1">
      <alignment horizontal="center" vertical="center" textRotation="90" wrapText="1"/>
    </xf>
    <xf numFmtId="0" fontId="47" fillId="5" borderId="106" xfId="0" applyFont="1" applyFill="1" applyBorder="1" applyAlignment="1">
      <alignment horizontal="center" vertical="center" textRotation="90" wrapText="1"/>
    </xf>
    <xf numFmtId="0" fontId="45" fillId="0" borderId="124" xfId="0" applyFont="1" applyBorder="1" applyAlignment="1">
      <alignment horizontal="left" vertical="top" wrapText="1"/>
    </xf>
    <xf numFmtId="0" fontId="45" fillId="0" borderId="70" xfId="0" applyFont="1" applyBorder="1" applyAlignment="1">
      <alignment horizontal="left" vertical="top" wrapText="1"/>
    </xf>
    <xf numFmtId="0" fontId="45" fillId="0" borderId="69" xfId="0" applyFont="1" applyBorder="1" applyAlignment="1">
      <alignment horizontal="left" vertical="top" wrapText="1"/>
    </xf>
    <xf numFmtId="0" fontId="45" fillId="0" borderId="108" xfId="0" applyFont="1" applyBorder="1" applyAlignment="1">
      <alignment horizontal="left" vertical="top" wrapText="1"/>
    </xf>
    <xf numFmtId="0" fontId="45" fillId="0" borderId="62" xfId="0" applyFont="1" applyBorder="1" applyAlignment="1">
      <alignment horizontal="left" vertical="top" wrapText="1"/>
    </xf>
    <xf numFmtId="0" fontId="45" fillId="0" borderId="64" xfId="0" applyFont="1" applyBorder="1" applyAlignment="1">
      <alignment horizontal="left" vertical="top" wrapText="1"/>
    </xf>
    <xf numFmtId="0" fontId="45" fillId="0" borderId="10" xfId="0" applyFont="1" applyBorder="1" applyAlignment="1">
      <alignment vertical="top" wrapText="1"/>
    </xf>
    <xf numFmtId="0" fontId="47" fillId="5" borderId="14" xfId="0" applyFont="1" applyFill="1" applyBorder="1" applyAlignment="1">
      <alignment horizontal="center"/>
    </xf>
    <xf numFmtId="0" fontId="0" fillId="8" borderId="76" xfId="0" applyFill="1" applyBorder="1" applyAlignment="1">
      <alignment horizontal="center" vertical="center"/>
    </xf>
    <xf numFmtId="0" fontId="0" fillId="8" borderId="106" xfId="0" applyFill="1" applyBorder="1" applyAlignment="1">
      <alignment horizontal="center" vertical="center"/>
    </xf>
    <xf numFmtId="0" fontId="4" fillId="0" borderId="19" xfId="0" applyFont="1" applyBorder="1" applyAlignment="1">
      <alignment vertical="top" wrapText="1"/>
    </xf>
    <xf numFmtId="0" fontId="0" fillId="0" borderId="0" xfId="0" applyFont="1" applyAlignment="1">
      <alignment wrapText="1"/>
    </xf>
    <xf numFmtId="0" fontId="4" fillId="0" borderId="11" xfId="0" applyFont="1" applyBorder="1" applyAlignment="1">
      <alignment vertical="top" wrapText="1"/>
    </xf>
    <xf numFmtId="0" fontId="4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21" xfId="0" applyFont="1" applyBorder="1" applyAlignment="1">
      <alignment horizontal="left" vertical="top" wrapText="1"/>
    </xf>
    <xf numFmtId="0" fontId="5" fillId="0" borderId="28" xfId="0" applyFont="1" applyBorder="1" applyAlignment="1">
      <alignment horizontal="left" vertical="top" wrapText="1"/>
    </xf>
    <xf numFmtId="0" fontId="4" fillId="0" borderId="8" xfId="0" applyFont="1" applyBorder="1" applyAlignment="1">
      <alignment vertical="top" wrapText="1"/>
    </xf>
    <xf numFmtId="0" fontId="5" fillId="0" borderId="8" xfId="0" applyFont="1" applyBorder="1" applyAlignment="1">
      <alignment wrapText="1"/>
    </xf>
    <xf numFmtId="0" fontId="5" fillId="0" borderId="37" xfId="0" applyFont="1" applyBorder="1" applyAlignment="1">
      <alignment wrapText="1"/>
    </xf>
    <xf numFmtId="0" fontId="61" fillId="0" borderId="90" xfId="0" applyFont="1" applyBorder="1" applyAlignment="1">
      <alignment horizontal="center" vertical="top" textRotation="90"/>
    </xf>
    <xf numFmtId="0" fontId="45" fillId="0" borderId="17" xfId="0" applyFont="1" applyBorder="1" applyAlignment="1">
      <alignment horizontal="left" vertical="top" wrapText="1"/>
    </xf>
    <xf numFmtId="0" fontId="1" fillId="0" borderId="4" xfId="0" applyFont="1" applyBorder="1" applyAlignment="1">
      <alignment horizontal="left" vertical="top" wrapText="1"/>
    </xf>
    <xf numFmtId="0" fontId="45" fillId="0" borderId="4" xfId="0" applyFont="1" applyBorder="1" applyAlignment="1">
      <alignment horizontal="left" vertical="top" wrapText="1"/>
    </xf>
    <xf numFmtId="0" fontId="4" fillId="0" borderId="20" xfId="0" applyFont="1" applyBorder="1" applyAlignment="1">
      <alignment vertical="top" wrapText="1"/>
    </xf>
    <xf numFmtId="0" fontId="5" fillId="0" borderId="41" xfId="0" applyFont="1" applyBorder="1" applyAlignment="1">
      <alignment wrapText="1"/>
    </xf>
    <xf numFmtId="0" fontId="4" fillId="0" borderId="0" xfId="0" applyFont="1" applyAlignment="1">
      <alignment vertical="top" wrapText="1"/>
    </xf>
    <xf numFmtId="0" fontId="4" fillId="0" borderId="20" xfId="0" applyFont="1" applyBorder="1" applyAlignment="1">
      <alignment wrapText="1"/>
    </xf>
    <xf numFmtId="0" fontId="4" fillId="0" borderId="17" xfId="0" applyFont="1" applyBorder="1" applyAlignment="1">
      <alignment vertical="top" wrapText="1"/>
    </xf>
    <xf numFmtId="0" fontId="5" fillId="0" borderId="4" xfId="0" applyFont="1" applyBorder="1" applyAlignment="1">
      <alignment wrapText="1"/>
    </xf>
    <xf numFmtId="0" fontId="4" fillId="0" borderId="4" xfId="0" applyFont="1" applyBorder="1" applyAlignment="1">
      <alignment vertical="top" wrapText="1"/>
    </xf>
    <xf numFmtId="0" fontId="5" fillId="0" borderId="28" xfId="0" applyFont="1" applyBorder="1" applyAlignment="1">
      <alignment wrapText="1"/>
    </xf>
    <xf numFmtId="0" fontId="61" fillId="0" borderId="88" xfId="0" applyFont="1" applyBorder="1" applyAlignment="1">
      <alignment horizontal="center" vertical="top" textRotation="90"/>
    </xf>
    <xf numFmtId="0" fontId="56" fillId="0" borderId="8" xfId="1" applyNumberFormat="1" applyFont="1" applyBorder="1" applyAlignment="1">
      <alignment wrapText="1"/>
    </xf>
    <xf numFmtId="0" fontId="57" fillId="0" borderId="8" xfId="0" applyNumberFormat="1" applyFont="1" applyBorder="1"/>
    <xf numFmtId="0" fontId="9" fillId="0" borderId="8" xfId="0" applyNumberFormat="1" applyFont="1" applyBorder="1" applyAlignment="1">
      <alignment wrapText="1"/>
    </xf>
    <xf numFmtId="0" fontId="5" fillId="0" borderId="8" xfId="0" applyNumberFormat="1" applyFont="1" applyBorder="1"/>
    <xf numFmtId="0" fontId="46" fillId="6" borderId="4" xfId="0" applyFont="1" applyFill="1" applyBorder="1" applyAlignment="1">
      <alignment horizontal="left" vertical="top" wrapText="1"/>
    </xf>
    <xf numFmtId="0" fontId="48" fillId="0" borderId="0" xfId="0" applyFont="1" applyBorder="1"/>
    <xf numFmtId="0" fontId="46" fillId="6" borderId="11" xfId="0" applyFont="1" applyFill="1" applyBorder="1" applyAlignment="1">
      <alignment horizontal="left" vertical="top" wrapText="1"/>
    </xf>
    <xf numFmtId="0" fontId="1" fillId="0" borderId="10" xfId="0" applyFont="1" applyBorder="1" applyAlignment="1">
      <alignment horizontal="left" vertical="top" wrapText="1"/>
    </xf>
    <xf numFmtId="0" fontId="4" fillId="0" borderId="9" xfId="0" applyFont="1" applyBorder="1" applyAlignment="1">
      <alignment vertical="top" wrapText="1"/>
    </xf>
    <xf numFmtId="0" fontId="5" fillId="0" borderId="9" xfId="0" applyFont="1" applyBorder="1" applyAlignment="1">
      <alignment wrapText="1"/>
    </xf>
    <xf numFmtId="0" fontId="5" fillId="0" borderId="43" xfId="0" applyFont="1" applyBorder="1" applyAlignment="1">
      <alignment wrapText="1"/>
    </xf>
    <xf numFmtId="0" fontId="46" fillId="6" borderId="10" xfId="0" applyFont="1" applyFill="1" applyBorder="1" applyAlignment="1">
      <alignment horizontal="left" vertical="top" wrapText="1"/>
    </xf>
    <xf numFmtId="0" fontId="48" fillId="0" borderId="95" xfId="0" applyFont="1" applyBorder="1"/>
    <xf numFmtId="0" fontId="45" fillId="5" borderId="81" xfId="0" applyFont="1" applyFill="1" applyBorder="1" applyAlignment="1">
      <alignment horizontal="center" vertical="center" textRotation="90" wrapText="1"/>
    </xf>
    <xf numFmtId="0" fontId="45" fillId="5" borderId="82" xfId="0" applyFont="1" applyFill="1" applyBorder="1" applyAlignment="1">
      <alignment horizontal="center" vertical="center" textRotation="90" wrapText="1"/>
    </xf>
    <xf numFmtId="0" fontId="45" fillId="0" borderId="19" xfId="0" applyFont="1" applyBorder="1" applyAlignment="1">
      <alignment vertical="top" wrapText="1"/>
    </xf>
    <xf numFmtId="0" fontId="45" fillId="5" borderId="12" xfId="0" applyFont="1" applyFill="1" applyBorder="1" applyAlignment="1">
      <alignment vertical="top" wrapText="1"/>
    </xf>
    <xf numFmtId="0" fontId="45" fillId="5" borderId="9" xfId="0" applyFont="1" applyFill="1" applyBorder="1" applyAlignment="1">
      <alignment vertical="top"/>
    </xf>
    <xf numFmtId="0" fontId="45" fillId="0" borderId="135" xfId="0" applyFont="1" applyBorder="1" applyAlignment="1">
      <alignment vertical="top" wrapText="1"/>
    </xf>
    <xf numFmtId="0" fontId="48" fillId="0" borderId="136" xfId="0" applyFont="1" applyBorder="1"/>
    <xf numFmtId="0" fontId="48" fillId="0" borderId="137" xfId="0" applyFont="1" applyBorder="1"/>
    <xf numFmtId="0" fontId="45" fillId="0" borderId="8" xfId="0" applyFont="1" applyBorder="1" applyAlignment="1">
      <alignment vertical="top" wrapText="1"/>
    </xf>
    <xf numFmtId="0" fontId="48" fillId="0" borderId="68" xfId="0" applyFont="1" applyBorder="1"/>
    <xf numFmtId="0" fontId="46" fillId="0" borderId="77" xfId="0" applyFont="1" applyBorder="1" applyAlignment="1"/>
    <xf numFmtId="0" fontId="45" fillId="5" borderId="36" xfId="0" applyFont="1" applyFill="1" applyBorder="1" applyAlignment="1">
      <alignment horizontal="center"/>
    </xf>
    <xf numFmtId="0" fontId="45" fillId="0" borderId="27" xfId="0" applyFont="1" applyBorder="1" applyAlignment="1">
      <alignment vertical="top" wrapText="1"/>
    </xf>
    <xf numFmtId="0" fontId="45" fillId="5" borderId="38" xfId="0" applyFont="1" applyFill="1" applyBorder="1" applyAlignment="1">
      <alignment vertical="top" wrapText="1"/>
    </xf>
    <xf numFmtId="0" fontId="45" fillId="5" borderId="76" xfId="0" applyFont="1" applyFill="1" applyBorder="1" applyAlignment="1">
      <alignment horizontal="left" vertical="top" wrapText="1"/>
    </xf>
    <xf numFmtId="0" fontId="45" fillId="5" borderId="71" xfId="0" applyFont="1" applyFill="1" applyBorder="1" applyAlignment="1">
      <alignment horizontal="left" vertical="top" wrapText="1"/>
    </xf>
    <xf numFmtId="0" fontId="45" fillId="5" borderId="70" xfId="0" applyFont="1" applyFill="1" applyBorder="1" applyAlignment="1">
      <alignment horizontal="left" vertical="top" wrapText="1"/>
    </xf>
    <xf numFmtId="0" fontId="45" fillId="5" borderId="103" xfId="0" applyFont="1" applyFill="1" applyBorder="1" applyAlignment="1">
      <alignment horizontal="left" vertical="top" wrapText="1"/>
    </xf>
    <xf numFmtId="0" fontId="45" fillId="5" borderId="69" xfId="0" applyFont="1" applyFill="1" applyBorder="1" applyAlignment="1">
      <alignment horizontal="left" vertical="top" wrapText="1"/>
    </xf>
    <xf numFmtId="0" fontId="5" fillId="0" borderId="4" xfId="0" applyFont="1" applyBorder="1" applyAlignment="1">
      <alignment horizontal="center" vertical="top" wrapText="1"/>
    </xf>
    <xf numFmtId="0" fontId="5" fillId="0" borderId="28" xfId="0" applyFont="1" applyBorder="1" applyAlignment="1">
      <alignment horizontal="center" vertical="top" wrapText="1"/>
    </xf>
    <xf numFmtId="0" fontId="45" fillId="0" borderId="89" xfId="0" applyFont="1" applyBorder="1" applyAlignment="1">
      <alignment vertical="top" wrapText="1"/>
    </xf>
    <xf numFmtId="0" fontId="46" fillId="0" borderId="97" xfId="0" applyFont="1" applyBorder="1" applyAlignment="1"/>
    <xf numFmtId="0" fontId="48" fillId="0" borderId="60" xfId="0" applyFont="1" applyBorder="1"/>
    <xf numFmtId="0" fontId="46" fillId="5" borderId="12" xfId="0" applyFont="1" applyFill="1" applyBorder="1" applyAlignment="1">
      <alignment horizontal="left" wrapText="1"/>
    </xf>
    <xf numFmtId="0" fontId="45" fillId="0" borderId="125" xfId="0" applyFont="1" applyBorder="1" applyAlignment="1">
      <alignment horizontal="left" vertical="top" wrapText="1"/>
    </xf>
    <xf numFmtId="0" fontId="45" fillId="0" borderId="110" xfId="0" applyFont="1" applyBorder="1" applyAlignment="1">
      <alignment horizontal="left" vertical="top" wrapText="1"/>
    </xf>
    <xf numFmtId="0" fontId="45" fillId="0" borderId="111" xfId="0" applyFont="1" applyBorder="1" applyAlignment="1">
      <alignment horizontal="left" vertical="top" wrapText="1"/>
    </xf>
    <xf numFmtId="0" fontId="5" fillId="0" borderId="8" xfId="0" applyFont="1" applyBorder="1" applyAlignment="1">
      <alignment horizontal="left" vertical="top" wrapText="1"/>
    </xf>
    <xf numFmtId="0" fontId="5" fillId="0" borderId="41" xfId="0" applyFont="1" applyBorder="1" applyAlignment="1">
      <alignment horizontal="left" vertical="top" wrapText="1"/>
    </xf>
    <xf numFmtId="0" fontId="46" fillId="5" borderId="65" xfId="0" applyFont="1" applyFill="1" applyBorder="1" applyAlignment="1">
      <alignment horizontal="left" vertical="top" wrapText="1"/>
    </xf>
    <xf numFmtId="0" fontId="47" fillId="5" borderId="74" xfId="0" applyFont="1" applyFill="1" applyBorder="1" applyAlignment="1">
      <alignment horizontal="center" vertical="center" textRotation="90" wrapText="1"/>
    </xf>
    <xf numFmtId="0" fontId="47" fillId="5" borderId="62" xfId="0" applyFont="1" applyFill="1" applyBorder="1" applyAlignment="1">
      <alignment horizontal="center" vertical="center" textRotation="90" wrapText="1"/>
    </xf>
    <xf numFmtId="0" fontId="47" fillId="5" borderId="64" xfId="0" applyFont="1" applyFill="1" applyBorder="1" applyAlignment="1">
      <alignment horizontal="center" vertical="center" textRotation="90" wrapText="1"/>
    </xf>
    <xf numFmtId="0" fontId="48" fillId="0" borderId="44" xfId="0" applyFont="1" applyBorder="1" applyAlignment="1">
      <alignment horizontal="center"/>
    </xf>
    <xf numFmtId="0" fontId="48" fillId="0" borderId="75" xfId="0" applyFont="1" applyBorder="1" applyAlignment="1">
      <alignment horizontal="center"/>
    </xf>
    <xf numFmtId="0" fontId="48" fillId="0" borderId="71" xfId="0" applyFont="1" applyBorder="1" applyAlignment="1">
      <alignment horizontal="center"/>
    </xf>
    <xf numFmtId="0" fontId="47" fillId="5" borderId="148" xfId="0" applyFont="1" applyFill="1" applyBorder="1" applyAlignment="1">
      <alignment horizontal="center" vertical="center" textRotation="90" wrapText="1"/>
    </xf>
    <xf numFmtId="0" fontId="47" fillId="5" borderId="149" xfId="0" applyFont="1" applyFill="1" applyBorder="1" applyAlignment="1">
      <alignment horizontal="center" vertical="center" textRotation="90" wrapText="1"/>
    </xf>
    <xf numFmtId="0" fontId="47" fillId="5" borderId="150" xfId="0" applyFont="1" applyFill="1" applyBorder="1" applyAlignment="1">
      <alignment horizontal="center" vertical="center" textRotation="90" wrapText="1"/>
    </xf>
    <xf numFmtId="0" fontId="47" fillId="5" borderId="86" xfId="0" applyFont="1" applyFill="1" applyBorder="1" applyAlignment="1">
      <alignment horizontal="center" vertical="center" textRotation="90" wrapText="1"/>
    </xf>
    <xf numFmtId="0" fontId="45" fillId="5" borderId="59" xfId="0" applyFont="1" applyFill="1" applyBorder="1" applyAlignment="1">
      <alignment vertical="top" wrapText="1"/>
    </xf>
    <xf numFmtId="0" fontId="48" fillId="0" borderId="57" xfId="0" applyFont="1" applyBorder="1"/>
    <xf numFmtId="0" fontId="41" fillId="0" borderId="0" xfId="0" applyFont="1" applyAlignment="1">
      <alignment vertical="top" wrapText="1"/>
    </xf>
    <xf numFmtId="0" fontId="0" fillId="0" borderId="0" xfId="0" applyFont="1" applyAlignment="1"/>
    <xf numFmtId="0" fontId="31" fillId="0" borderId="0" xfId="0" applyFont="1" applyAlignment="1">
      <alignment wrapText="1"/>
    </xf>
    <xf numFmtId="0" fontId="45" fillId="0" borderId="25" xfId="0" applyFont="1" applyBorder="1" applyAlignment="1">
      <alignment vertical="top" wrapText="1"/>
    </xf>
    <xf numFmtId="0" fontId="45" fillId="0" borderId="96" xfId="0" applyFont="1" applyBorder="1" applyAlignment="1">
      <alignment vertical="top" wrapText="1"/>
    </xf>
    <xf numFmtId="0" fontId="48" fillId="0" borderId="92" xfId="0" applyFont="1" applyBorder="1"/>
    <xf numFmtId="0" fontId="48" fillId="0" borderId="41" xfId="0" applyFont="1" applyBorder="1"/>
    <xf numFmtId="0" fontId="45" fillId="0" borderId="48" xfId="0" applyFont="1" applyBorder="1" applyAlignment="1">
      <alignment vertical="top" wrapText="1"/>
    </xf>
    <xf numFmtId="0" fontId="48" fillId="0" borderId="49" xfId="0" applyFont="1" applyBorder="1"/>
    <xf numFmtId="0" fontId="48" fillId="0" borderId="50" xfId="0" applyFont="1" applyBorder="1"/>
    <xf numFmtId="0" fontId="45" fillId="0" borderId="33" xfId="0" applyFont="1" applyBorder="1" applyAlignment="1">
      <alignment vertical="top" wrapText="1"/>
    </xf>
    <xf numFmtId="0" fontId="48" fillId="0" borderId="33" xfId="0" applyFont="1" applyBorder="1"/>
    <xf numFmtId="0" fontId="48" fillId="0" borderId="34" xfId="0" applyFont="1" applyBorder="1"/>
    <xf numFmtId="0" fontId="46" fillId="5" borderId="85" xfId="0" applyFont="1" applyFill="1" applyBorder="1" applyAlignment="1">
      <alignment horizontal="left" vertical="top" wrapText="1"/>
    </xf>
    <xf numFmtId="0" fontId="48" fillId="0" borderId="78" xfId="0" applyFont="1" applyBorder="1"/>
    <xf numFmtId="0" fontId="45" fillId="0" borderId="9" xfId="0" applyFont="1" applyBorder="1" applyAlignment="1">
      <alignment vertical="top" wrapText="1"/>
    </xf>
    <xf numFmtId="0" fontId="45" fillId="0" borderId="39" xfId="0" applyFont="1" applyBorder="1" applyAlignment="1">
      <alignment vertical="top" wrapText="1"/>
    </xf>
    <xf numFmtId="0" fontId="0" fillId="0" borderId="4" xfId="0" applyFont="1" applyBorder="1" applyAlignment="1">
      <alignment horizontal="left" vertical="top" wrapText="1"/>
    </xf>
    <xf numFmtId="0" fontId="0" fillId="0" borderId="28" xfId="0" applyFont="1" applyBorder="1" applyAlignment="1">
      <alignment horizontal="left" vertical="top" wrapText="1"/>
    </xf>
    <xf numFmtId="0" fontId="45" fillId="0" borderId="76" xfId="0" applyFont="1" applyBorder="1" applyAlignment="1">
      <alignment vertical="top" wrapText="1"/>
    </xf>
    <xf numFmtId="0" fontId="48" fillId="0" borderId="76" xfId="0" applyFont="1" applyBorder="1"/>
    <xf numFmtId="0" fontId="52" fillId="0" borderId="4" xfId="0" applyFont="1" applyBorder="1" applyAlignment="1">
      <alignment vertical="top"/>
    </xf>
    <xf numFmtId="0" fontId="53" fillId="0" borderId="4" xfId="0" applyFont="1" applyBorder="1"/>
    <xf numFmtId="0" fontId="45" fillId="0" borderId="77" xfId="0" applyFont="1" applyBorder="1" applyAlignment="1">
      <alignment vertical="top" wrapText="1"/>
    </xf>
    <xf numFmtId="0" fontId="0" fillId="8" borderId="76" xfId="0" applyFill="1" applyBorder="1" applyAlignment="1">
      <alignment horizontal="center"/>
    </xf>
    <xf numFmtId="0" fontId="1" fillId="8" borderId="119" xfId="0" applyFont="1" applyFill="1" applyBorder="1" applyAlignment="1">
      <alignment horizontal="left" vertical="top" wrapText="1"/>
    </xf>
    <xf numFmtId="0" fontId="1" fillId="8" borderId="118" xfId="0" applyFont="1" applyFill="1" applyBorder="1" applyAlignment="1">
      <alignment horizontal="left" vertical="top" wrapText="1"/>
    </xf>
    <xf numFmtId="0" fontId="0" fillId="8" borderId="106" xfId="0" applyFill="1" applyBorder="1" applyAlignment="1">
      <alignment horizontal="center"/>
    </xf>
    <xf numFmtId="0" fontId="61" fillId="0" borderId="28" xfId="0" applyFont="1" applyBorder="1" applyAlignment="1">
      <alignment horizontal="center" vertical="top" textRotation="90"/>
    </xf>
    <xf numFmtId="0" fontId="47" fillId="5" borderId="87" xfId="0" applyFont="1" applyFill="1" applyBorder="1" applyAlignment="1">
      <alignment horizontal="center" vertical="center" textRotation="90" wrapText="1"/>
    </xf>
    <xf numFmtId="0" fontId="56" fillId="0" borderId="19" xfId="1" applyFont="1" applyBorder="1" applyAlignment="1">
      <alignment wrapText="1"/>
    </xf>
    <xf numFmtId="0" fontId="60" fillId="0" borderId="0" xfId="0" applyFont="1" applyAlignment="1"/>
    <xf numFmtId="0" fontId="1" fillId="8" borderId="101" xfId="0" applyFont="1" applyFill="1" applyBorder="1" applyAlignment="1">
      <alignment horizontal="left" vertical="top" wrapText="1"/>
    </xf>
    <xf numFmtId="0" fontId="1" fillId="8" borderId="108" xfId="0" applyFont="1" applyFill="1" applyBorder="1" applyAlignment="1">
      <alignment horizontal="left" vertical="top" wrapText="1"/>
    </xf>
    <xf numFmtId="0" fontId="0" fillId="8" borderId="76" xfId="0" applyFill="1" applyBorder="1" applyAlignment="1">
      <alignment horizontal="center" wrapText="1"/>
    </xf>
    <xf numFmtId="0" fontId="0" fillId="8" borderId="71" xfId="0" applyFill="1" applyBorder="1" applyAlignment="1">
      <alignment horizontal="center" wrapText="1"/>
    </xf>
    <xf numFmtId="0" fontId="4" fillId="0" borderId="88" xfId="0" applyFont="1" applyBorder="1" applyAlignment="1">
      <alignment horizontal="center" vertical="top" wrapText="1"/>
    </xf>
    <xf numFmtId="0" fontId="46" fillId="5" borderId="130" xfId="0" applyFont="1" applyFill="1" applyBorder="1" applyAlignment="1">
      <alignment horizontal="center" vertical="top" wrapText="1"/>
    </xf>
    <xf numFmtId="0" fontId="47" fillId="5" borderId="128" xfId="0" applyFont="1" applyFill="1" applyBorder="1" applyAlignment="1">
      <alignment horizontal="center" vertical="center" textRotation="90" wrapText="1"/>
    </xf>
    <xf numFmtId="0" fontId="45" fillId="5" borderId="55" xfId="0" applyFont="1" applyFill="1" applyBorder="1" applyAlignment="1">
      <alignment horizontal="center" vertical="top" wrapText="1"/>
    </xf>
    <xf numFmtId="0" fontId="45" fillId="5" borderId="56" xfId="0" applyFont="1" applyFill="1" applyBorder="1" applyAlignment="1">
      <alignment horizontal="center" vertical="top" wrapText="1"/>
    </xf>
    <xf numFmtId="0" fontId="45" fillId="5" borderId="131" xfId="0" applyFont="1" applyFill="1" applyBorder="1" applyAlignment="1">
      <alignment horizontal="center" vertical="top" wrapText="1"/>
    </xf>
    <xf numFmtId="0" fontId="47" fillId="5" borderId="48" xfId="0" applyFont="1" applyFill="1" applyBorder="1" applyAlignment="1">
      <alignment horizontal="center" vertical="center"/>
    </xf>
    <xf numFmtId="0" fontId="47" fillId="5" borderId="49" xfId="0" applyFont="1" applyFill="1" applyBorder="1" applyAlignment="1">
      <alignment horizontal="center" vertical="center"/>
    </xf>
    <xf numFmtId="0" fontId="47" fillId="5" borderId="134" xfId="0" applyFont="1" applyFill="1" applyBorder="1" applyAlignment="1">
      <alignment horizontal="center" vertical="center"/>
    </xf>
    <xf numFmtId="0" fontId="4" fillId="0" borderId="94" xfId="0" applyFont="1" applyBorder="1" applyAlignment="1">
      <alignment horizontal="center" vertical="top" wrapText="1"/>
    </xf>
    <xf numFmtId="0" fontId="4" fillId="0" borderId="77" xfId="0" applyFont="1" applyBorder="1" applyAlignment="1">
      <alignment horizontal="center" vertical="top" wrapText="1"/>
    </xf>
    <xf numFmtId="0" fontId="46" fillId="5" borderId="113" xfId="0" applyFont="1" applyFill="1" applyBorder="1" applyAlignment="1">
      <alignment horizontal="left" vertical="top" wrapText="1"/>
    </xf>
    <xf numFmtId="0" fontId="46" fillId="5" borderId="111" xfId="0" applyFont="1" applyFill="1" applyBorder="1" applyAlignment="1">
      <alignment horizontal="left" vertical="top" wrapText="1"/>
    </xf>
    <xf numFmtId="0" fontId="48" fillId="0" borderId="115" xfId="0" applyFont="1" applyBorder="1"/>
    <xf numFmtId="0" fontId="48" fillId="0" borderId="117" xfId="0" applyFont="1" applyBorder="1"/>
    <xf numFmtId="0" fontId="45" fillId="8" borderId="101" xfId="0" applyFont="1" applyFill="1" applyBorder="1" applyAlignment="1">
      <alignment horizontal="left" vertical="top" wrapText="1"/>
    </xf>
    <xf numFmtId="0" fontId="47" fillId="5" borderId="105" xfId="0" applyFont="1" applyFill="1" applyBorder="1" applyAlignment="1">
      <alignment horizontal="center" vertical="center" textRotation="90" wrapText="1"/>
    </xf>
    <xf numFmtId="0" fontId="1" fillId="8" borderId="64" xfId="0" applyFont="1" applyFill="1" applyBorder="1" applyAlignment="1">
      <alignment horizontal="left" vertical="top" wrapText="1"/>
    </xf>
    <xf numFmtId="0" fontId="1" fillId="8" borderId="69" xfId="0" applyFont="1" applyFill="1" applyBorder="1" applyAlignment="1">
      <alignment horizontal="center"/>
    </xf>
    <xf numFmtId="0" fontId="1" fillId="8" borderId="76" xfId="0" applyFont="1" applyFill="1" applyBorder="1" applyAlignment="1">
      <alignment horizontal="center"/>
    </xf>
    <xf numFmtId="0" fontId="45" fillId="0" borderId="109" xfId="0" applyFont="1" applyBorder="1" applyAlignment="1">
      <alignment horizontal="left" wrapText="1"/>
    </xf>
    <xf numFmtId="0" fontId="45" fillId="0" borderId="110" xfId="0" applyFont="1" applyBorder="1" applyAlignment="1">
      <alignment horizontal="left" wrapText="1"/>
    </xf>
    <xf numFmtId="0" fontId="45" fillId="0" borderId="111" xfId="0" applyFont="1" applyBorder="1" applyAlignment="1">
      <alignment horizontal="left" wrapText="1"/>
    </xf>
    <xf numFmtId="0" fontId="45" fillId="0" borderId="109" xfId="0" applyFont="1" applyBorder="1" applyAlignment="1">
      <alignment horizontal="left" vertical="top" wrapText="1"/>
    </xf>
    <xf numFmtId="0" fontId="58" fillId="0" borderId="10" xfId="0" applyFont="1" applyBorder="1" applyAlignment="1">
      <alignment horizontal="center" vertical="top" wrapText="1"/>
    </xf>
    <xf numFmtId="0" fontId="45" fillId="0" borderId="28" xfId="0" applyFont="1" applyBorder="1" applyAlignment="1">
      <alignment horizontal="center" vertical="top" wrapText="1"/>
    </xf>
    <xf numFmtId="0" fontId="58" fillId="0" borderId="4" xfId="0" applyFont="1" applyBorder="1" applyAlignment="1">
      <alignment horizontal="center" vertical="top" wrapText="1"/>
    </xf>
    <xf numFmtId="0" fontId="4" fillId="0" borderId="28" xfId="0" applyFont="1" applyBorder="1" applyAlignment="1">
      <alignment horizontal="center" vertical="top" wrapText="1"/>
    </xf>
    <xf numFmtId="0" fontId="4" fillId="0" borderId="95" xfId="0" applyFont="1" applyBorder="1" applyAlignment="1">
      <alignment horizontal="center" vertical="top" wrapText="1"/>
    </xf>
    <xf numFmtId="0" fontId="1" fillId="0" borderId="120" xfId="0" applyFont="1" applyBorder="1" applyAlignment="1">
      <alignment horizontal="left" wrapText="1"/>
    </xf>
    <xf numFmtId="0" fontId="1" fillId="0" borderId="70" xfId="0" applyFont="1" applyBorder="1" applyAlignment="1">
      <alignment horizontal="left" wrapText="1"/>
    </xf>
    <xf numFmtId="0" fontId="1" fillId="0" borderId="69" xfId="0" applyFont="1" applyBorder="1" applyAlignment="1">
      <alignment horizontal="left" wrapText="1"/>
    </xf>
    <xf numFmtId="0" fontId="45" fillId="0" borderId="121" xfId="0" applyFont="1" applyBorder="1" applyAlignment="1">
      <alignment horizontal="left" wrapText="1"/>
    </xf>
    <xf numFmtId="0" fontId="46" fillId="5" borderId="86" xfId="0" applyFont="1" applyFill="1" applyBorder="1" applyAlignment="1">
      <alignment horizontal="left" vertical="top" wrapText="1"/>
    </xf>
    <xf numFmtId="0" fontId="46" fillId="5" borderId="107" xfId="0" applyFont="1" applyFill="1" applyBorder="1" applyAlignment="1">
      <alignment horizontal="left" vertical="top" wrapText="1"/>
    </xf>
    <xf numFmtId="0" fontId="47" fillId="5" borderId="107" xfId="0" applyFont="1" applyFill="1" applyBorder="1" applyAlignment="1">
      <alignment horizontal="center" vertical="center" textRotation="90" wrapText="1"/>
    </xf>
    <xf numFmtId="0" fontId="45" fillId="0" borderId="114" xfId="0" applyFont="1" applyBorder="1" applyAlignment="1">
      <alignment horizontal="left" vertical="top" wrapText="1"/>
    </xf>
    <xf numFmtId="0" fontId="45" fillId="0" borderId="54" xfId="0" applyFont="1" applyBorder="1" applyAlignment="1">
      <alignment horizontal="left" vertical="top" wrapText="1"/>
    </xf>
    <xf numFmtId="0" fontId="45" fillId="0" borderId="112" xfId="0" applyFont="1" applyBorder="1" applyAlignment="1">
      <alignment horizontal="left" vertical="top" wrapText="1"/>
    </xf>
    <xf numFmtId="0" fontId="45" fillId="0" borderId="71" xfId="0" applyFont="1" applyBorder="1" applyAlignment="1">
      <alignment horizontal="left" vertical="top" wrapText="1"/>
    </xf>
    <xf numFmtId="0" fontId="1" fillId="0" borderId="71" xfId="0" applyFont="1" applyBorder="1" applyAlignment="1">
      <alignment horizontal="left" vertical="top" wrapText="1"/>
    </xf>
    <xf numFmtId="0" fontId="1" fillId="0" borderId="70" xfId="0" applyFont="1" applyBorder="1" applyAlignment="1">
      <alignment horizontal="left" vertical="top" wrapText="1"/>
    </xf>
    <xf numFmtId="0" fontId="1" fillId="0" borderId="69" xfId="0" applyFont="1" applyBorder="1" applyAlignment="1">
      <alignment horizontal="left" vertical="top"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Kyhn, Birthe" id="{06FFBF11-2F26-4AE1-8743-F9E0135F72DD}" userId="S::BK02FOO@intra.coop::18d37053-8802-4976-822a-644f1905717e"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2" dT="2020-05-29T12:23:00.78" personId="{06FFBF11-2F26-4AE1-8743-F9E0135F72DD}" id="{785C8761-3036-425F-BB63-F51CF307637A}">
    <text>Måske skal den hedde 'Inden madlavningen' - det er nok mere retvisende.</text>
  </threadedComment>
  <threadedComment ref="F134" dT="2020-05-29T12:33:43.64" personId="{06FFBF11-2F26-4AE1-8743-F9E0135F72DD}" id="{6FE3C214-8937-4C31-8D77-4EA41A59E5AB}">
    <text>Den bør vi vist rykke til oktober/nov.</text>
  </threadedComment>
  <threadedComment ref="D642" dT="2020-05-29T11:48:32.40" personId="{06FFBF11-2F26-4AE1-8743-F9E0135F72DD}" id="{4D078493-BE61-4B05-AFDC-3206E7994E2B}">
    <text>Er nødt til at ændre navn til 'Verdensmad', da der ikke er plads til hele dette navn på skillelinjen på web.</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gocook.dk/gocookbook/aeble-te" TargetMode="External"/><Relationship Id="rId13" Type="http://schemas.openxmlformats.org/officeDocument/2006/relationships/hyperlink" Target="http://gocook.dk/gocook-tv/film-12-hvordan-dyrker-man-aebler" TargetMode="External"/><Relationship Id="rId18" Type="http://schemas.openxmlformats.org/officeDocument/2006/relationships/hyperlink" Target="http://gocook.dk/gocookbook/pizza-med-bacon-og-aeble" TargetMode="External"/><Relationship Id="rId26" Type="http://schemas.openxmlformats.org/officeDocument/2006/relationships/hyperlink" Target="http://gocook.dk/kokkeskolen/aebleskraeller-saadan-bruger-du-den" TargetMode="External"/><Relationship Id="rId3" Type="http://schemas.openxmlformats.org/officeDocument/2006/relationships/hyperlink" Target="http://gocook.dk/gocook-tv/film-19-ny-favorit-gammeldags-aebleskiver" TargetMode="External"/><Relationship Id="rId21" Type="http://schemas.openxmlformats.org/officeDocument/2006/relationships/hyperlink" Target="http://gocook.dk/kokkeskolen/aebler-skraelle" TargetMode="External"/><Relationship Id="rId7" Type="http://schemas.openxmlformats.org/officeDocument/2006/relationships/hyperlink" Target="http://gocook.dk/gocookbook/aebleskiver-med-gaer" TargetMode="External"/><Relationship Id="rId12" Type="http://schemas.openxmlformats.org/officeDocument/2006/relationships/hyperlink" Target="http://gocook.dk/gocook-tv/film-03-aebler-paa-seks-forskellige-maader" TargetMode="External"/><Relationship Id="rId17" Type="http://schemas.openxmlformats.org/officeDocument/2006/relationships/hyperlink" Target="http://gocook.dk/gocookbook/aebleboller" TargetMode="External"/><Relationship Id="rId25" Type="http://schemas.openxmlformats.org/officeDocument/2006/relationships/hyperlink" Target="http://gocook.dk/kokkeskolen/aeble-skaere-i-tern" TargetMode="External"/><Relationship Id="rId2" Type="http://schemas.openxmlformats.org/officeDocument/2006/relationships/hyperlink" Target="http://gocook.dk/gocook-tv/film-17-hvad-er-aeblets-historie" TargetMode="External"/><Relationship Id="rId16" Type="http://schemas.openxmlformats.org/officeDocument/2006/relationships/hyperlink" Target="http://gocook.dk/gocookbook/frittata-med-bacon-og-aeble" TargetMode="External"/><Relationship Id="rId20" Type="http://schemas.openxmlformats.org/officeDocument/2006/relationships/hyperlink" Target="http://gocook.dk/gocookbook/arme-riddere-med-aebler" TargetMode="External"/><Relationship Id="rId29" Type="http://schemas.openxmlformats.org/officeDocument/2006/relationships/comments" Target="../comments1.xml"/><Relationship Id="rId1" Type="http://schemas.openxmlformats.org/officeDocument/2006/relationships/hyperlink" Target="http://gocook.dk/gocook-tv/film-15-hvordan-laver-man-aeblemost-hjemme-og-paa-et-mosteri" TargetMode="External"/><Relationship Id="rId6" Type="http://schemas.openxmlformats.org/officeDocument/2006/relationships/hyperlink" Target="http://gocook.dk/gocookbook/aebleskiver-med-aeblemarmelade" TargetMode="External"/><Relationship Id="rId11" Type="http://schemas.openxmlformats.org/officeDocument/2006/relationships/hyperlink" Target="http://gocook.dk/gocook-tv/film-02-aeble-challenge" TargetMode="External"/><Relationship Id="rId24" Type="http://schemas.openxmlformats.org/officeDocument/2006/relationships/hyperlink" Target="http://gocook.dk/kokkeskolen/aebler-i-baade" TargetMode="External"/><Relationship Id="rId5" Type="http://schemas.openxmlformats.org/officeDocument/2006/relationships/hyperlink" Target="http://gocook.dk/gocookbook/aebleskiver-med-aebleskive" TargetMode="External"/><Relationship Id="rId15" Type="http://schemas.openxmlformats.org/officeDocument/2006/relationships/hyperlink" Target="http://gocook.dk/gocook-tv/film-13-saadan-laver-man-en-plantage-med-aebler" TargetMode="External"/><Relationship Id="rId23" Type="http://schemas.openxmlformats.org/officeDocument/2006/relationships/hyperlink" Target="http://gocook.dk/kokkeskolen/aeble-skaere-i-kvarte" TargetMode="External"/><Relationship Id="rId28" Type="http://schemas.openxmlformats.org/officeDocument/2006/relationships/vmlDrawing" Target="../drawings/vmlDrawing1.vml"/><Relationship Id="rId10" Type="http://schemas.openxmlformats.org/officeDocument/2006/relationships/hyperlink" Target="http://gocook.dk/gocookbook/gammeldags-aeblekage" TargetMode="External"/><Relationship Id="rId19" Type="http://schemas.openxmlformats.org/officeDocument/2006/relationships/hyperlink" Target="http://gocook.dk/gocookbook/burger-med-pulled-chicken" TargetMode="External"/><Relationship Id="rId4" Type="http://schemas.openxmlformats.org/officeDocument/2006/relationships/hyperlink" Target="http://gocook.dk/gocook-tv/film-20-red-aeblerne" TargetMode="External"/><Relationship Id="rId9" Type="http://schemas.openxmlformats.org/officeDocument/2006/relationships/hyperlink" Target="http://gocook.dk/gocookbook/blomkaalssuppe-med-aebler" TargetMode="External"/><Relationship Id="rId14" Type="http://schemas.openxmlformats.org/officeDocument/2006/relationships/hyperlink" Target="http://gocook.dk/gocook-tv/film-14-hvad-er-forskellen-paa-konventionelle-og-oekologiske-aebler" TargetMode="External"/><Relationship Id="rId22" Type="http://schemas.openxmlformats.org/officeDocument/2006/relationships/hyperlink" Target="http://gocook.dk/kokkeskolen/aebler-skaere-i-skiver" TargetMode="External"/><Relationship Id="rId27" Type="http://schemas.openxmlformats.org/officeDocument/2006/relationships/printerSettings" Target="../printerSettings/printerSettings1.bin"/><Relationship Id="rId30"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Q1457"/>
  <sheetViews>
    <sheetView tabSelected="1" topLeftCell="C185" zoomScale="70" zoomScaleNormal="70" zoomScaleSheetLayoutView="80" workbookViewId="0">
      <selection activeCell="J222" sqref="J222"/>
    </sheetView>
  </sheetViews>
  <sheetFormatPr defaultColWidth="14.453125" defaultRowHeight="15.75" customHeight="1"/>
  <cols>
    <col min="1" max="1" width="5.1796875" customWidth="1"/>
    <col min="2" max="2" width="8.1796875" customWidth="1"/>
    <col min="3" max="3" width="5.54296875" style="160" customWidth="1"/>
    <col min="4" max="4" width="8.1796875" customWidth="1"/>
    <col min="5" max="5" width="7.26953125" style="120" customWidth="1"/>
    <col min="6" max="6" width="53.453125" customWidth="1"/>
    <col min="7" max="7" width="38.54296875" customWidth="1"/>
    <col min="8" max="8" width="34.1796875" customWidth="1"/>
    <col min="9" max="9" width="19" customWidth="1"/>
    <col min="10" max="10" width="18.453125" customWidth="1"/>
    <col min="11" max="11" width="19" customWidth="1"/>
    <col min="12" max="12" width="7.81640625" style="161" customWidth="1"/>
    <col min="13" max="13" width="16.7265625" style="170" customWidth="1"/>
    <col min="14" max="14" width="5.54296875" style="180" customWidth="1"/>
    <col min="17" max="17" width="21.453125" customWidth="1"/>
  </cols>
  <sheetData>
    <row r="1" spans="1:17" ht="47.5" thickTop="1" thickBot="1">
      <c r="A1" s="3" t="s">
        <v>0</v>
      </c>
      <c r="B1" s="2" t="s">
        <v>1</v>
      </c>
      <c r="C1" s="159" t="s">
        <v>557</v>
      </c>
      <c r="D1" s="4" t="s">
        <v>2</v>
      </c>
      <c r="E1" s="5" t="s">
        <v>3</v>
      </c>
      <c r="F1" s="4" t="s">
        <v>4</v>
      </c>
      <c r="G1" s="5" t="s">
        <v>5</v>
      </c>
      <c r="H1" s="5" t="s">
        <v>6</v>
      </c>
      <c r="I1" s="4" t="s">
        <v>8</v>
      </c>
      <c r="J1" s="5" t="s">
        <v>7</v>
      </c>
      <c r="K1" s="162" t="s">
        <v>566</v>
      </c>
      <c r="L1" s="162" t="s">
        <v>588</v>
      </c>
      <c r="M1" s="5" t="s">
        <v>9</v>
      </c>
      <c r="N1" s="173" t="s">
        <v>10</v>
      </c>
      <c r="Q1" s="6"/>
    </row>
    <row r="2" spans="1:17" ht="15.75" customHeight="1" thickTop="1" thickBot="1">
      <c r="A2" s="326" t="s">
        <v>11</v>
      </c>
      <c r="B2" s="430" t="s">
        <v>12</v>
      </c>
      <c r="C2" s="427" t="s">
        <v>559</v>
      </c>
      <c r="D2" s="326" t="s">
        <v>13</v>
      </c>
      <c r="E2" s="121"/>
      <c r="F2" s="8" t="s">
        <v>14</v>
      </c>
      <c r="G2" s="9"/>
      <c r="H2" s="10"/>
      <c r="I2" s="12"/>
      <c r="J2" s="11"/>
      <c r="K2" s="13"/>
      <c r="L2" s="13"/>
      <c r="M2" s="163"/>
      <c r="N2" s="174"/>
      <c r="Q2" s="14"/>
    </row>
    <row r="3" spans="1:17" ht="15.75" customHeight="1" thickTop="1" thickBot="1">
      <c r="A3" s="327"/>
      <c r="B3" s="415"/>
      <c r="C3" s="418"/>
      <c r="D3" s="327"/>
      <c r="E3" s="434" t="s">
        <v>15</v>
      </c>
      <c r="F3" s="17" t="s">
        <v>563</v>
      </c>
      <c r="G3" s="186"/>
      <c r="H3" s="19"/>
      <c r="I3" s="365" t="s">
        <v>17</v>
      </c>
      <c r="J3" s="410" t="s">
        <v>16</v>
      </c>
      <c r="K3" s="353" t="s">
        <v>567</v>
      </c>
      <c r="L3" s="336" t="s">
        <v>30</v>
      </c>
      <c r="M3" s="343" t="s">
        <v>18</v>
      </c>
      <c r="N3" s="357">
        <v>1</v>
      </c>
    </row>
    <row r="4" spans="1:17" ht="15.75" customHeight="1" thickTop="1">
      <c r="A4" s="327"/>
      <c r="B4" s="415"/>
      <c r="C4" s="418"/>
      <c r="D4" s="327"/>
      <c r="E4" s="433"/>
      <c r="F4" s="21" t="s">
        <v>19</v>
      </c>
      <c r="G4" s="187"/>
      <c r="H4" s="19"/>
      <c r="I4" s="364"/>
      <c r="J4" s="385"/>
      <c r="K4" s="354"/>
      <c r="L4" s="450"/>
      <c r="M4" s="340"/>
      <c r="N4" s="358"/>
    </row>
    <row r="5" spans="1:17" ht="15.75" customHeight="1">
      <c r="A5" s="327"/>
      <c r="B5" s="415"/>
      <c r="C5" s="418"/>
      <c r="D5" s="327"/>
      <c r="E5" s="433"/>
      <c r="F5" s="22" t="s">
        <v>20</v>
      </c>
      <c r="G5" s="188" t="str">
        <f>HYPERLINK("http://gocook.dk/kokkeskolen/vaske-haender","Vaske hænder")</f>
        <v>Vaske hænder</v>
      </c>
      <c r="H5" s="19"/>
      <c r="I5" s="364"/>
      <c r="J5" s="385"/>
      <c r="K5" s="354"/>
      <c r="L5" s="450"/>
      <c r="M5" s="340"/>
      <c r="N5" s="358"/>
    </row>
    <row r="6" spans="1:17" ht="15.75" customHeight="1">
      <c r="A6" s="327"/>
      <c r="B6" s="415"/>
      <c r="C6" s="418"/>
      <c r="D6" s="327"/>
      <c r="E6" s="433"/>
      <c r="F6" s="22" t="s">
        <v>21</v>
      </c>
      <c r="G6" s="189" t="str">
        <f>HYPERLINK("http://gocook.dk/kokkeskolen/vaske-op","Vaske op")</f>
        <v>Vaske op</v>
      </c>
      <c r="H6" s="19"/>
      <c r="I6" s="364"/>
      <c r="J6" s="385"/>
      <c r="K6" s="354"/>
      <c r="L6" s="450"/>
      <c r="M6" s="340"/>
      <c r="N6" s="358"/>
    </row>
    <row r="7" spans="1:17" ht="15.75" customHeight="1">
      <c r="A7" s="327"/>
      <c r="B7" s="415"/>
      <c r="C7" s="418"/>
      <c r="D7" s="327"/>
      <c r="E7" s="433"/>
      <c r="F7" s="22" t="s">
        <v>22</v>
      </c>
      <c r="G7" s="437" t="str">
        <f>HYPERLINK("http://gocook.dk/kokkeskolen/maaleskeer","Måleenheder - spiseske, teske og knivspids")</f>
        <v>Måleenheder - spiseske, teske og knivspids</v>
      </c>
      <c r="H7" s="19"/>
      <c r="I7" s="366"/>
      <c r="J7" s="455" t="s">
        <v>23</v>
      </c>
      <c r="K7" s="354"/>
      <c r="L7" s="450"/>
      <c r="M7" s="344"/>
      <c r="N7" s="358"/>
    </row>
    <row r="8" spans="1:17" ht="15.75" customHeight="1">
      <c r="A8" s="327"/>
      <c r="B8" s="415"/>
      <c r="C8" s="418"/>
      <c r="D8" s="327"/>
      <c r="E8" s="433"/>
      <c r="F8" s="24"/>
      <c r="G8" s="438"/>
      <c r="H8" s="19"/>
      <c r="I8" s="129"/>
      <c r="J8" s="456"/>
      <c r="K8" s="354"/>
      <c r="L8" s="450"/>
      <c r="M8" s="361" t="s">
        <v>24</v>
      </c>
      <c r="N8" s="358"/>
    </row>
    <row r="9" spans="1:17" ht="23.25" customHeight="1" thickBot="1">
      <c r="A9" s="327"/>
      <c r="B9" s="415"/>
      <c r="C9" s="418"/>
      <c r="D9" s="327"/>
      <c r="E9" s="433"/>
      <c r="F9" s="24"/>
      <c r="G9" s="190"/>
      <c r="H9" s="19"/>
      <c r="I9" s="129"/>
      <c r="J9" s="457"/>
      <c r="K9" s="354"/>
      <c r="L9" s="450"/>
      <c r="M9" s="340"/>
      <c r="N9" s="358"/>
    </row>
    <row r="10" spans="1:17" ht="15.75" customHeight="1" thickTop="1" thickBot="1">
      <c r="A10" s="327"/>
      <c r="B10" s="415"/>
      <c r="C10" s="418"/>
      <c r="D10" s="327"/>
      <c r="E10" s="433"/>
      <c r="F10" s="17" t="s">
        <v>25</v>
      </c>
      <c r="G10" s="191"/>
      <c r="H10" s="19"/>
      <c r="I10" s="129"/>
      <c r="J10" s="441" t="s">
        <v>26</v>
      </c>
      <c r="K10" s="354"/>
      <c r="L10" s="450"/>
      <c r="M10" s="340"/>
      <c r="N10" s="358"/>
    </row>
    <row r="11" spans="1:17" ht="15.75" customHeight="1" thickTop="1" thickBot="1">
      <c r="A11" s="327"/>
      <c r="B11" s="415"/>
      <c r="C11" s="418"/>
      <c r="D11" s="327"/>
      <c r="E11" s="433"/>
      <c r="F11" s="22" t="s">
        <v>27</v>
      </c>
      <c r="G11" s="439" t="str">
        <f>HYPERLINK("http://gocook.dk/kokkeskolen/vride-karklud-og-goere-bordet-rent","Vride karklud og gøre bordet rent")</f>
        <v>Vride karklud og gøre bordet rent</v>
      </c>
      <c r="H11" s="19"/>
      <c r="I11" s="129"/>
      <c r="J11" s="385"/>
      <c r="K11" s="354"/>
      <c r="L11" s="451"/>
      <c r="M11" s="375"/>
      <c r="N11" s="377"/>
    </row>
    <row r="12" spans="1:17" ht="15.75" customHeight="1">
      <c r="A12" s="327"/>
      <c r="B12" s="415"/>
      <c r="C12" s="418"/>
      <c r="D12" s="327"/>
      <c r="E12" s="433"/>
      <c r="G12" s="440"/>
      <c r="H12" s="19"/>
      <c r="I12" s="129"/>
      <c r="J12" s="385"/>
      <c r="K12" s="355"/>
      <c r="L12" s="346"/>
      <c r="M12" s="341"/>
      <c r="N12" s="360"/>
    </row>
    <row r="13" spans="1:17" ht="15.75" customHeight="1">
      <c r="A13" s="327"/>
      <c r="B13" s="415"/>
      <c r="C13" s="418"/>
      <c r="D13" s="327"/>
      <c r="E13" s="433"/>
      <c r="G13" s="192" t="str">
        <f>HYPERLINK("http://gocook.dk/kokkeskolen/skridsikkert-skaerebraet","Skridsikkert skærebræt ")</f>
        <v xml:space="preserve">Skridsikkert skærebræt </v>
      </c>
      <c r="H13" s="19"/>
      <c r="I13" s="129"/>
      <c r="J13" s="385"/>
      <c r="K13" s="355"/>
      <c r="L13" s="346"/>
      <c r="M13" s="342"/>
      <c r="N13" s="358"/>
    </row>
    <row r="14" spans="1:17" ht="15.75" customHeight="1">
      <c r="A14" s="327"/>
      <c r="B14" s="415"/>
      <c r="C14" s="418"/>
      <c r="D14" s="327"/>
      <c r="E14" s="433"/>
      <c r="G14" s="193"/>
      <c r="H14" s="19"/>
      <c r="I14" s="129"/>
      <c r="J14" s="385"/>
      <c r="K14" s="355"/>
      <c r="L14" s="346"/>
      <c r="M14" s="342"/>
      <c r="N14" s="358"/>
    </row>
    <row r="15" spans="1:17" ht="15.75" customHeight="1" thickBot="1">
      <c r="A15" s="327"/>
      <c r="B15" s="415"/>
      <c r="C15" s="418"/>
      <c r="D15" s="327"/>
      <c r="E15" s="433"/>
      <c r="G15" s="189" t="str">
        <f>HYPERLINK("http://gocook.dk/kokkeskolen/kokkekniv-holde-paa-den","Kokkekniv, hold på den")</f>
        <v>Kokkekniv, hold på den</v>
      </c>
      <c r="H15" s="19"/>
      <c r="I15" s="129"/>
      <c r="J15" s="385"/>
      <c r="K15" s="355"/>
      <c r="L15" s="346"/>
      <c r="M15" s="342"/>
      <c r="N15" s="358"/>
    </row>
    <row r="16" spans="1:17" ht="15.75" customHeight="1" thickTop="1">
      <c r="A16" s="327"/>
      <c r="B16" s="415"/>
      <c r="C16" s="418"/>
      <c r="D16" s="327"/>
      <c r="E16" s="432" t="s">
        <v>28</v>
      </c>
      <c r="F16" s="25"/>
      <c r="G16" s="26"/>
      <c r="H16" s="208" t="str">
        <f>HYPERLINK("http://gocook.dk/gocookbook/koldskaal","Koldskål")</f>
        <v>Koldskål</v>
      </c>
      <c r="I16" s="452" t="s">
        <v>29</v>
      </c>
      <c r="J16" s="130"/>
      <c r="K16" s="355"/>
      <c r="L16" s="346"/>
      <c r="M16" s="342"/>
      <c r="N16" s="358"/>
    </row>
    <row r="17" spans="1:17" ht="15.75" customHeight="1">
      <c r="A17" s="327"/>
      <c r="B17" s="415"/>
      <c r="C17" s="418"/>
      <c r="D17" s="327"/>
      <c r="E17" s="433"/>
      <c r="F17" s="18"/>
      <c r="H17" s="209" t="str">
        <f>HYPERLINK("http://gocook.dk/gocookbook/kanelsnegle","Kanelsnegle")</f>
        <v>Kanelsnegle</v>
      </c>
      <c r="I17" s="364"/>
      <c r="J17" s="131"/>
      <c r="K17" s="355"/>
      <c r="L17" s="346"/>
      <c r="M17" s="342"/>
      <c r="N17" s="358"/>
    </row>
    <row r="18" spans="1:17" ht="15.75" customHeight="1">
      <c r="A18" s="327"/>
      <c r="B18" s="415"/>
      <c r="C18" s="418"/>
      <c r="D18" s="327"/>
      <c r="E18" s="433"/>
      <c r="F18" s="18"/>
      <c r="H18" s="209" t="str">
        <f>HYPERLINK("http://gocook.dk/gocookbook/jordbaermilkshake","Jordbærmilkshake")</f>
        <v>Jordbærmilkshake</v>
      </c>
      <c r="I18" s="364"/>
      <c r="J18" s="131"/>
      <c r="K18" s="355"/>
      <c r="L18" s="346"/>
      <c r="M18" s="342"/>
      <c r="N18" s="358"/>
    </row>
    <row r="19" spans="1:17" ht="15.75" customHeight="1">
      <c r="A19" s="327"/>
      <c r="B19" s="415"/>
      <c r="C19" s="418"/>
      <c r="D19" s="327"/>
      <c r="E19" s="433"/>
      <c r="F19" s="18"/>
      <c r="H19" s="210" t="str">
        <f>HYPERLINK("http://gocook.dk/gocookbook/sommer-smoothie","Sommer-smoothie")</f>
        <v>Sommer-smoothie</v>
      </c>
      <c r="I19" s="364"/>
      <c r="J19" s="131"/>
      <c r="K19" s="355"/>
      <c r="L19" s="346"/>
      <c r="M19" s="342"/>
      <c r="N19" s="358"/>
    </row>
    <row r="20" spans="1:17" ht="15.75" customHeight="1" thickBot="1">
      <c r="A20" s="327"/>
      <c r="B20" s="415"/>
      <c r="C20" s="419"/>
      <c r="D20" s="327"/>
      <c r="E20" s="433"/>
      <c r="F20" s="18"/>
      <c r="H20" s="211"/>
      <c r="I20" s="366"/>
      <c r="J20" s="131"/>
      <c r="K20" s="356"/>
      <c r="L20" s="347"/>
      <c r="M20" s="362"/>
      <c r="N20" s="377"/>
    </row>
    <row r="21" spans="1:17" ht="15.75" customHeight="1" thickBot="1">
      <c r="A21" s="327"/>
      <c r="B21" s="416" t="s">
        <v>12</v>
      </c>
      <c r="C21" s="417" t="s">
        <v>559</v>
      </c>
      <c r="D21" s="327"/>
      <c r="E21" s="122"/>
      <c r="F21" s="31" t="s">
        <v>30</v>
      </c>
      <c r="G21" s="32"/>
      <c r="H21" s="10"/>
      <c r="I21" s="132"/>
      <c r="J21" s="132"/>
      <c r="K21" s="133"/>
      <c r="L21" s="133"/>
      <c r="M21" s="164"/>
      <c r="N21" s="175"/>
      <c r="Q21" s="14"/>
    </row>
    <row r="22" spans="1:17" ht="15.75" customHeight="1" thickTop="1" thickBot="1">
      <c r="A22" s="327"/>
      <c r="B22" s="415"/>
      <c r="C22" s="418"/>
      <c r="D22" s="327"/>
      <c r="E22" s="421" t="s">
        <v>15</v>
      </c>
      <c r="F22" s="94" t="s">
        <v>563</v>
      </c>
      <c r="H22" s="19"/>
      <c r="I22" s="350" t="s">
        <v>558</v>
      </c>
      <c r="J22" s="365" t="s">
        <v>31</v>
      </c>
      <c r="K22" s="453" t="s">
        <v>568</v>
      </c>
      <c r="L22" s="336" t="s">
        <v>30</v>
      </c>
      <c r="M22" s="339" t="s">
        <v>32</v>
      </c>
      <c r="N22" s="357">
        <v>2</v>
      </c>
    </row>
    <row r="23" spans="1:17" ht="16" thickTop="1">
      <c r="A23" s="327"/>
      <c r="B23" s="415"/>
      <c r="C23" s="418"/>
      <c r="D23" s="327"/>
      <c r="E23" s="422"/>
      <c r="F23" s="34" t="s">
        <v>33</v>
      </c>
      <c r="G23" s="28" t="str">
        <f>HYPERLINK("http://gocook.dk/kokkeskolen/vaske-haender","Vaske hænder")</f>
        <v>Vaske hænder</v>
      </c>
      <c r="H23" s="19"/>
      <c r="I23" s="351"/>
      <c r="J23" s="442"/>
      <c r="K23" s="354"/>
      <c r="L23" s="450"/>
      <c r="M23" s="344"/>
      <c r="N23" s="358"/>
    </row>
    <row r="24" spans="1:17" ht="15.5">
      <c r="A24" s="327"/>
      <c r="B24" s="415"/>
      <c r="C24" s="418"/>
      <c r="D24" s="327"/>
      <c r="E24" s="422"/>
      <c r="F24" s="35" t="s">
        <v>20</v>
      </c>
      <c r="G24" s="28" t="str">
        <f>HYPERLINK("http://gocook.dk/kokkeskolen/vaske-op","Vaske op")</f>
        <v>Vaske op</v>
      </c>
      <c r="H24" s="19"/>
      <c r="I24" s="351"/>
      <c r="J24" s="442"/>
      <c r="K24" s="354"/>
      <c r="L24" s="450"/>
      <c r="M24" s="348" t="s">
        <v>34</v>
      </c>
      <c r="N24" s="358"/>
    </row>
    <row r="25" spans="1:17" ht="24.75" customHeight="1" thickBot="1">
      <c r="A25" s="327"/>
      <c r="B25" s="415"/>
      <c r="C25" s="418"/>
      <c r="D25" s="327"/>
      <c r="E25" s="422"/>
      <c r="F25" s="35" t="s">
        <v>21</v>
      </c>
      <c r="G25" s="36" t="str">
        <f>HYPERLINK("http://gocook.dk/kokkeskolen/vride-karklud-og-goere-bordet-rent","Vride karklud og gøre bordet rent")</f>
        <v>Vride karklud og gøre bordet rent</v>
      </c>
      <c r="H25" s="37"/>
      <c r="I25" s="351"/>
      <c r="J25" s="442"/>
      <c r="K25" s="354"/>
      <c r="L25" s="451"/>
      <c r="M25" s="344"/>
      <c r="N25" s="359"/>
    </row>
    <row r="26" spans="1:17" ht="15.5">
      <c r="A26" s="327"/>
      <c r="B26" s="415"/>
      <c r="C26" s="418"/>
      <c r="D26" s="327"/>
      <c r="E26" s="422"/>
      <c r="F26" s="35" t="s">
        <v>35</v>
      </c>
      <c r="G26" s="38" t="str">
        <f>HYPERLINK("http://gocook.dk/kokkeskolen/skridsikkert-skaerebraet","Skridsikkert skærebræt ")</f>
        <v xml:space="preserve">Skridsikkert skærebræt </v>
      </c>
      <c r="H26" s="19"/>
      <c r="I26" s="351"/>
      <c r="J26" s="443" t="s">
        <v>36</v>
      </c>
      <c r="K26" s="355"/>
      <c r="L26" s="346"/>
      <c r="M26" s="341"/>
      <c r="N26" s="360"/>
    </row>
    <row r="27" spans="1:17" ht="15.5">
      <c r="A27" s="327"/>
      <c r="B27" s="415"/>
      <c r="C27" s="418"/>
      <c r="D27" s="327"/>
      <c r="E27" s="422"/>
      <c r="F27" s="35" t="s">
        <v>37</v>
      </c>
      <c r="G27" s="28" t="str">
        <f>HYPERLINK("http://gocook.dk/kokkeskolen/bordskraldespand","Bordskraldespand")</f>
        <v>Bordskraldespand</v>
      </c>
      <c r="H27" s="19"/>
      <c r="I27" s="351"/>
      <c r="J27" s="442"/>
      <c r="K27" s="355"/>
      <c r="L27" s="346"/>
      <c r="M27" s="342"/>
      <c r="N27" s="358"/>
    </row>
    <row r="28" spans="1:17" ht="15.5">
      <c r="A28" s="327"/>
      <c r="B28" s="415"/>
      <c r="C28" s="418"/>
      <c r="D28" s="327"/>
      <c r="E28" s="422"/>
      <c r="F28" s="35" t="s">
        <v>38</v>
      </c>
      <c r="G28" s="39"/>
      <c r="H28" s="19"/>
      <c r="I28" s="351"/>
      <c r="J28" s="442"/>
      <c r="K28" s="355"/>
      <c r="L28" s="346"/>
      <c r="M28" s="342"/>
      <c r="N28" s="358"/>
    </row>
    <row r="29" spans="1:17" ht="15.5">
      <c r="A29" s="327"/>
      <c r="B29" s="415"/>
      <c r="C29" s="418"/>
      <c r="D29" s="327"/>
      <c r="E29" s="422"/>
      <c r="F29" s="35" t="s">
        <v>39</v>
      </c>
      <c r="G29" s="29" t="str">
        <f>HYPERLINK("http://gocook.dk/kokkeskolen/kokkekniv-holde-paa-den","Kokkekniv, hold på den")</f>
        <v>Kokkekniv, hold på den</v>
      </c>
      <c r="H29" s="19"/>
      <c r="I29" s="351"/>
      <c r="J29" s="366"/>
      <c r="K29" s="355"/>
      <c r="L29" s="346"/>
      <c r="M29" s="342"/>
      <c r="N29" s="358"/>
    </row>
    <row r="30" spans="1:17" ht="15.5">
      <c r="A30" s="327"/>
      <c r="B30" s="415"/>
      <c r="C30" s="418"/>
      <c r="D30" s="327"/>
      <c r="E30" s="422"/>
      <c r="F30" s="35" t="s">
        <v>40</v>
      </c>
      <c r="H30" s="19"/>
      <c r="I30" s="351"/>
      <c r="J30" s="129"/>
      <c r="K30" s="355"/>
      <c r="L30" s="346"/>
      <c r="M30" s="342"/>
      <c r="N30" s="358"/>
    </row>
    <row r="31" spans="1:17" ht="15.5">
      <c r="A31" s="327"/>
      <c r="B31" s="415"/>
      <c r="C31" s="418"/>
      <c r="D31" s="327"/>
      <c r="E31" s="422"/>
      <c r="F31" s="35" t="s">
        <v>41</v>
      </c>
      <c r="H31" s="19"/>
      <c r="I31" s="351"/>
      <c r="J31" s="129"/>
      <c r="K31" s="355"/>
      <c r="L31" s="346"/>
      <c r="M31" s="342"/>
      <c r="N31" s="358"/>
    </row>
    <row r="32" spans="1:17" ht="18" customHeight="1" thickBot="1">
      <c r="A32" s="327"/>
      <c r="B32" s="415"/>
      <c r="C32" s="418"/>
      <c r="D32" s="327"/>
      <c r="E32" s="422"/>
      <c r="F32" s="19"/>
      <c r="H32" s="19"/>
      <c r="I32" s="449"/>
      <c r="J32" s="129"/>
      <c r="K32" s="355"/>
      <c r="L32" s="346"/>
      <c r="M32" s="342"/>
      <c r="N32" s="358"/>
    </row>
    <row r="33" spans="1:17" ht="16" thickTop="1">
      <c r="A33" s="327"/>
      <c r="B33" s="415"/>
      <c r="C33" s="418"/>
      <c r="D33" s="327"/>
      <c r="E33" s="428" t="s">
        <v>42</v>
      </c>
      <c r="F33" s="40"/>
      <c r="G33" s="26"/>
      <c r="H33" s="41" t="str">
        <f>HYPERLINK("http://gocook.dk/gocookbook/frugtsalat","Frugtsalat")</f>
        <v>Frugtsalat</v>
      </c>
      <c r="I33" s="370" t="s">
        <v>43</v>
      </c>
      <c r="J33" s="134"/>
      <c r="K33" s="355"/>
      <c r="L33" s="346"/>
      <c r="M33" s="342"/>
      <c r="N33" s="358"/>
    </row>
    <row r="34" spans="1:17" ht="12.5">
      <c r="A34" s="327"/>
      <c r="B34" s="415"/>
      <c r="C34" s="418"/>
      <c r="D34" s="327"/>
      <c r="E34" s="422"/>
      <c r="F34" s="19"/>
      <c r="H34" s="19"/>
      <c r="I34" s="351"/>
      <c r="J34" s="129"/>
      <c r="K34" s="355"/>
      <c r="L34" s="346"/>
      <c r="M34" s="342"/>
      <c r="N34" s="358"/>
    </row>
    <row r="35" spans="1:17" ht="12.5">
      <c r="A35" s="327"/>
      <c r="B35" s="415"/>
      <c r="C35" s="418"/>
      <c r="D35" s="327"/>
      <c r="E35" s="422"/>
      <c r="F35" s="19"/>
      <c r="H35" s="19"/>
      <c r="I35" s="351"/>
      <c r="J35" s="129"/>
      <c r="K35" s="355"/>
      <c r="L35" s="346"/>
      <c r="M35" s="342"/>
      <c r="N35" s="358"/>
    </row>
    <row r="36" spans="1:17" ht="12.5">
      <c r="A36" s="327"/>
      <c r="B36" s="415"/>
      <c r="C36" s="418"/>
      <c r="D36" s="327"/>
      <c r="E36" s="422"/>
      <c r="F36" s="19"/>
      <c r="H36" s="19"/>
      <c r="I36" s="351"/>
      <c r="J36" s="129"/>
      <c r="K36" s="355"/>
      <c r="L36" s="346"/>
      <c r="M36" s="342"/>
      <c r="N36" s="358"/>
    </row>
    <row r="37" spans="1:17" ht="12.5">
      <c r="A37" s="327"/>
      <c r="B37" s="415"/>
      <c r="C37" s="418"/>
      <c r="D37" s="327"/>
      <c r="E37" s="422"/>
      <c r="F37" s="19"/>
      <c r="H37" s="19"/>
      <c r="I37" s="351"/>
      <c r="J37" s="129"/>
      <c r="K37" s="355"/>
      <c r="L37" s="346"/>
      <c r="M37" s="342"/>
      <c r="N37" s="358"/>
    </row>
    <row r="38" spans="1:17" ht="13" thickBot="1">
      <c r="A38" s="327"/>
      <c r="B38" s="415"/>
      <c r="C38" s="419"/>
      <c r="D38" s="327"/>
      <c r="E38" s="422"/>
      <c r="F38" s="19"/>
      <c r="H38" s="19"/>
      <c r="I38" s="352"/>
      <c r="J38" s="129"/>
      <c r="K38" s="356"/>
      <c r="L38" s="347"/>
      <c r="M38" s="362"/>
      <c r="N38" s="377"/>
    </row>
    <row r="39" spans="1:17" ht="16" thickBot="1">
      <c r="A39" s="327"/>
      <c r="B39" s="416" t="s">
        <v>12</v>
      </c>
      <c r="C39" s="417" t="s">
        <v>559</v>
      </c>
      <c r="D39" s="327"/>
      <c r="E39" s="122"/>
      <c r="F39" s="31" t="s">
        <v>44</v>
      </c>
      <c r="G39" s="32"/>
      <c r="H39" s="42"/>
      <c r="I39" s="132"/>
      <c r="J39" s="132"/>
      <c r="K39" s="133"/>
      <c r="L39" s="133"/>
      <c r="M39" s="164"/>
      <c r="N39" s="175"/>
      <c r="Q39" s="14"/>
    </row>
    <row r="40" spans="1:17" ht="17.25" customHeight="1" thickTop="1" thickBot="1">
      <c r="A40" s="327"/>
      <c r="B40" s="415"/>
      <c r="C40" s="418"/>
      <c r="D40" s="327"/>
      <c r="E40" s="434" t="s">
        <v>15</v>
      </c>
      <c r="F40" s="94" t="s">
        <v>563</v>
      </c>
      <c r="G40" s="18"/>
      <c r="I40" s="129"/>
      <c r="J40" s="410" t="s">
        <v>45</v>
      </c>
      <c r="K40" s="453" t="s">
        <v>569</v>
      </c>
      <c r="L40" s="336" t="s">
        <v>589</v>
      </c>
      <c r="M40" s="339" t="s">
        <v>46</v>
      </c>
      <c r="N40" s="411">
        <v>1</v>
      </c>
    </row>
    <row r="41" spans="1:17" ht="24" customHeight="1" thickTop="1">
      <c r="A41" s="327"/>
      <c r="B41" s="415"/>
      <c r="C41" s="418"/>
      <c r="D41" s="327"/>
      <c r="E41" s="433"/>
      <c r="F41" s="43" t="s">
        <v>47</v>
      </c>
      <c r="G41" s="19"/>
      <c r="I41" s="129"/>
      <c r="J41" s="385"/>
      <c r="K41" s="354"/>
      <c r="L41" s="337"/>
      <c r="M41" s="344"/>
      <c r="N41" s="359"/>
    </row>
    <row r="42" spans="1:17" ht="16" thickBot="1">
      <c r="A42" s="327"/>
      <c r="B42" s="415"/>
      <c r="C42" s="418"/>
      <c r="D42" s="327"/>
      <c r="E42" s="433"/>
      <c r="F42" s="34" t="s">
        <v>48</v>
      </c>
      <c r="G42" s="19"/>
      <c r="I42" s="129"/>
      <c r="J42" s="386"/>
      <c r="K42" s="354"/>
      <c r="L42" s="338"/>
      <c r="M42" s="454"/>
      <c r="N42" s="360"/>
    </row>
    <row r="43" spans="1:17" ht="15.5">
      <c r="A43" s="327"/>
      <c r="B43" s="415"/>
      <c r="C43" s="418"/>
      <c r="D43" s="327"/>
      <c r="E43" s="433"/>
      <c r="F43" s="43" t="s">
        <v>49</v>
      </c>
      <c r="G43" s="44" t="str">
        <f>HYPERLINK("http://gocook.dk/kokkeskolen/chili-skaere-og-vurdere-styrke","Chili, skære og vurdere styrke")</f>
        <v>Chili, skære og vurdere styrke</v>
      </c>
      <c r="I43" s="129"/>
      <c r="J43" s="441" t="s">
        <v>50</v>
      </c>
      <c r="K43" s="355"/>
      <c r="L43" s="312"/>
      <c r="M43" s="342"/>
      <c r="N43" s="358"/>
    </row>
    <row r="44" spans="1:17" ht="15.5">
      <c r="A44" s="327"/>
      <c r="B44" s="415"/>
      <c r="C44" s="418"/>
      <c r="D44" s="327"/>
      <c r="E44" s="433"/>
      <c r="F44" s="43" t="s">
        <v>51</v>
      </c>
      <c r="G44" s="19"/>
      <c r="I44" s="129"/>
      <c r="J44" s="385"/>
      <c r="K44" s="355"/>
      <c r="L44" s="312"/>
      <c r="M44" s="342"/>
      <c r="N44" s="358"/>
    </row>
    <row r="45" spans="1:17" ht="16" thickBot="1">
      <c r="A45" s="327"/>
      <c r="B45" s="415"/>
      <c r="C45" s="418"/>
      <c r="D45" s="327"/>
      <c r="E45" s="433"/>
      <c r="F45" s="43" t="s">
        <v>52</v>
      </c>
      <c r="G45" s="45"/>
      <c r="I45" s="129"/>
      <c r="J45" s="386"/>
      <c r="K45" s="355"/>
      <c r="L45" s="312"/>
      <c r="M45" s="342"/>
      <c r="N45" s="358"/>
    </row>
    <row r="46" spans="1:17" ht="16.5" thickTop="1" thickBot="1">
      <c r="A46" s="327"/>
      <c r="B46" s="415"/>
      <c r="C46" s="418"/>
      <c r="D46" s="327"/>
      <c r="E46" s="433"/>
      <c r="F46" s="46" t="s">
        <v>564</v>
      </c>
      <c r="G46" s="18"/>
      <c r="I46" s="129"/>
      <c r="J46" s="441" t="s">
        <v>54</v>
      </c>
      <c r="K46" s="355"/>
      <c r="L46" s="312"/>
      <c r="M46" s="342"/>
      <c r="N46" s="358"/>
    </row>
    <row r="47" spans="1:17" ht="16" thickTop="1">
      <c r="A47" s="327"/>
      <c r="B47" s="415"/>
      <c r="C47" s="418"/>
      <c r="D47" s="327"/>
      <c r="E47" s="433"/>
      <c r="F47" s="47" t="s">
        <v>55</v>
      </c>
      <c r="G47" s="48" t="str">
        <f>HYPERLINK("http://gocook.dk/kokkeskolen/krydderier-svitse","Krydderier, svitse")</f>
        <v>Krydderier, svitse</v>
      </c>
      <c r="I47" s="129"/>
      <c r="J47" s="385"/>
      <c r="K47" s="355"/>
      <c r="L47" s="312"/>
      <c r="M47" s="342"/>
      <c r="N47" s="358"/>
    </row>
    <row r="48" spans="1:17" ht="15.5">
      <c r="A48" s="327"/>
      <c r="B48" s="415"/>
      <c r="C48" s="418"/>
      <c r="D48" s="327"/>
      <c r="E48" s="433"/>
      <c r="F48" s="47" t="s">
        <v>56</v>
      </c>
      <c r="G48" s="18"/>
      <c r="I48" s="129"/>
      <c r="J48" s="386"/>
      <c r="K48" s="355"/>
      <c r="L48" s="312"/>
      <c r="M48" s="342"/>
      <c r="N48" s="358"/>
    </row>
    <row r="49" spans="1:17" ht="16" thickBot="1">
      <c r="A49" s="327"/>
      <c r="B49" s="415"/>
      <c r="C49" s="418"/>
      <c r="D49" s="327"/>
      <c r="E49" s="433"/>
      <c r="F49" s="43" t="s">
        <v>57</v>
      </c>
      <c r="G49" s="49" t="str">
        <f>HYPERLINK("http://gocook.dk/kokkeskolen/loeg-svitse","Løg, svitse")</f>
        <v>Løg, svitse</v>
      </c>
      <c r="I49" s="129"/>
      <c r="J49" s="131"/>
      <c r="K49" s="355"/>
      <c r="L49" s="312"/>
      <c r="M49" s="342"/>
      <c r="N49" s="358"/>
    </row>
    <row r="50" spans="1:17" ht="16" thickTop="1">
      <c r="A50" s="327"/>
      <c r="B50" s="415"/>
      <c r="C50" s="418"/>
      <c r="D50" s="327"/>
      <c r="E50" s="432" t="s">
        <v>58</v>
      </c>
      <c r="F50" s="26"/>
      <c r="G50" s="40"/>
      <c r="H50" s="27" t="str">
        <f>HYPERLINK("http://gocook.dk/gocookbook/ufoer-med-krydret-fyld","Ufo'er med krydret fyld")</f>
        <v>Ufo'er med krydret fyld</v>
      </c>
      <c r="I50" s="390" t="s">
        <v>43</v>
      </c>
      <c r="J50" s="130"/>
      <c r="K50" s="355"/>
      <c r="L50" s="312"/>
      <c r="M50" s="342"/>
      <c r="N50" s="358"/>
    </row>
    <row r="51" spans="1:17" ht="15.5">
      <c r="A51" s="327"/>
      <c r="B51" s="415"/>
      <c r="C51" s="418"/>
      <c r="D51" s="327"/>
      <c r="E51" s="433"/>
      <c r="G51" s="19"/>
      <c r="H51" s="50" t="str">
        <f>HYPERLINK("http://gocook.dk/gocookbook/wok-med-groentsager","Wok med grøntsager")</f>
        <v>Wok med grøntsager</v>
      </c>
      <c r="I51" s="391"/>
      <c r="J51" s="131"/>
      <c r="K51" s="355"/>
      <c r="L51" s="312"/>
      <c r="M51" s="342"/>
      <c r="N51" s="358"/>
    </row>
    <row r="52" spans="1:17" ht="12.5">
      <c r="A52" s="327"/>
      <c r="B52" s="415"/>
      <c r="C52" s="418"/>
      <c r="D52" s="327"/>
      <c r="E52" s="433"/>
      <c r="G52" s="19"/>
      <c r="I52" s="391"/>
      <c r="J52" s="131"/>
      <c r="K52" s="355"/>
      <c r="L52" s="312"/>
      <c r="M52" s="342"/>
      <c r="N52" s="358"/>
    </row>
    <row r="53" spans="1:17" ht="12.5">
      <c r="A53" s="327"/>
      <c r="B53" s="415"/>
      <c r="C53" s="418"/>
      <c r="D53" s="327"/>
      <c r="E53" s="433"/>
      <c r="G53" s="19"/>
      <c r="I53" s="391"/>
      <c r="J53" s="131"/>
      <c r="K53" s="355"/>
      <c r="L53" s="312"/>
      <c r="M53" s="342"/>
      <c r="N53" s="358"/>
    </row>
    <row r="54" spans="1:17" ht="24" customHeight="1" thickBot="1">
      <c r="A54" s="327"/>
      <c r="B54" s="415"/>
      <c r="C54" s="419"/>
      <c r="D54" s="327"/>
      <c r="E54" s="433"/>
      <c r="G54" s="19"/>
      <c r="I54" s="391"/>
      <c r="J54" s="131"/>
      <c r="K54" s="356"/>
      <c r="L54" s="313"/>
      <c r="M54" s="362"/>
      <c r="N54" s="377"/>
    </row>
    <row r="55" spans="1:17" ht="16" thickBot="1">
      <c r="A55" s="327"/>
      <c r="B55" s="416" t="s">
        <v>12</v>
      </c>
      <c r="C55" s="444" t="s">
        <v>559</v>
      </c>
      <c r="D55" s="327"/>
      <c r="E55" s="122"/>
      <c r="F55" s="31" t="s">
        <v>59</v>
      </c>
      <c r="G55" s="32"/>
      <c r="H55" s="42"/>
      <c r="I55" s="132"/>
      <c r="J55" s="132"/>
      <c r="K55" s="133"/>
      <c r="L55" s="133"/>
      <c r="M55" s="164"/>
      <c r="N55" s="175"/>
      <c r="Q55" s="14"/>
    </row>
    <row r="56" spans="1:17" ht="17.25" customHeight="1" thickTop="1" thickBot="1">
      <c r="A56" s="327"/>
      <c r="B56" s="415"/>
      <c r="C56" s="418"/>
      <c r="D56" s="327"/>
      <c r="E56" s="421" t="s">
        <v>15</v>
      </c>
      <c r="F56" s="94" t="s">
        <v>563</v>
      </c>
      <c r="G56" s="19"/>
      <c r="H56" s="20"/>
      <c r="I56" s="458" t="s">
        <v>61</v>
      </c>
      <c r="J56" s="448" t="s">
        <v>60</v>
      </c>
      <c r="K56" s="453" t="s">
        <v>568</v>
      </c>
      <c r="L56" s="336" t="s">
        <v>589</v>
      </c>
      <c r="M56" s="339" t="s">
        <v>62</v>
      </c>
      <c r="N56" s="357">
        <v>1</v>
      </c>
    </row>
    <row r="57" spans="1:17" ht="37.5" customHeight="1" thickTop="1">
      <c r="A57" s="327"/>
      <c r="B57" s="415"/>
      <c r="C57" s="418"/>
      <c r="D57" s="327"/>
      <c r="E57" s="422"/>
      <c r="F57" s="43" t="s">
        <v>63</v>
      </c>
      <c r="G57" s="51" t="str">
        <f>HYPERLINK("http://gocook.dk/kokkeskolen/kartofler-koge","Kartofler, koge ")</f>
        <v xml:space="preserve">Kartofler, koge </v>
      </c>
      <c r="H57" s="20"/>
      <c r="I57" s="391"/>
      <c r="J57" s="385"/>
      <c r="K57" s="354"/>
      <c r="L57" s="337"/>
      <c r="M57" s="344"/>
      <c r="N57" s="358"/>
    </row>
    <row r="58" spans="1:17" ht="15.5">
      <c r="A58" s="327"/>
      <c r="B58" s="415"/>
      <c r="C58" s="418"/>
      <c r="D58" s="327"/>
      <c r="E58" s="422"/>
      <c r="F58" s="43" t="s">
        <v>64</v>
      </c>
      <c r="G58" s="52" t="str">
        <f>HYPERLINK("http://gocook.dk/kokkeskolen/groentsager-svitse","Grøntsager, svitse")</f>
        <v>Grøntsager, svitse</v>
      </c>
      <c r="H58" s="20"/>
      <c r="I58" s="391"/>
      <c r="J58" s="385"/>
      <c r="K58" s="354"/>
      <c r="L58" s="337"/>
      <c r="M58" s="348" t="s">
        <v>65</v>
      </c>
      <c r="N58" s="358"/>
    </row>
    <row r="59" spans="1:17" ht="29.25" customHeight="1" thickBot="1">
      <c r="A59" s="327"/>
      <c r="B59" s="415"/>
      <c r="C59" s="418"/>
      <c r="D59" s="327"/>
      <c r="E59" s="422"/>
      <c r="F59" s="43" t="s">
        <v>66</v>
      </c>
      <c r="G59" s="53" t="str">
        <f>HYPERLINK("http://gocook.dk/kokkeskolen/hasselnoedder-riste","Hasselnødder, riste")</f>
        <v>Hasselnødder, riste</v>
      </c>
      <c r="H59" s="20"/>
      <c r="I59" s="391"/>
      <c r="J59" s="385"/>
      <c r="K59" s="354"/>
      <c r="L59" s="338"/>
      <c r="M59" s="344"/>
      <c r="N59" s="359"/>
    </row>
    <row r="60" spans="1:17" ht="15.5">
      <c r="A60" s="327"/>
      <c r="B60" s="415"/>
      <c r="C60" s="418"/>
      <c r="D60" s="327"/>
      <c r="E60" s="422"/>
      <c r="F60" s="43" t="s">
        <v>67</v>
      </c>
      <c r="G60" s="20"/>
      <c r="H60" s="20"/>
      <c r="I60" s="391"/>
      <c r="J60" s="410" t="s">
        <v>68</v>
      </c>
      <c r="K60" s="355"/>
      <c r="L60" s="312"/>
      <c r="M60" s="341"/>
      <c r="N60" s="360"/>
    </row>
    <row r="61" spans="1:17" ht="24.75" customHeight="1">
      <c r="A61" s="327"/>
      <c r="B61" s="415"/>
      <c r="C61" s="418"/>
      <c r="D61" s="327"/>
      <c r="E61" s="422"/>
      <c r="F61" s="43" t="s">
        <v>69</v>
      </c>
      <c r="G61" s="20"/>
      <c r="H61" s="20"/>
      <c r="I61" s="392"/>
      <c r="J61" s="385"/>
      <c r="K61" s="355"/>
      <c r="L61" s="312"/>
      <c r="M61" s="342"/>
      <c r="N61" s="358"/>
    </row>
    <row r="62" spans="1:17" ht="15.5">
      <c r="A62" s="327"/>
      <c r="B62" s="415"/>
      <c r="C62" s="418"/>
      <c r="D62" s="327"/>
      <c r="E62" s="422"/>
      <c r="F62" s="43" t="s">
        <v>70</v>
      </c>
      <c r="G62" s="50" t="str">
        <f>HYPERLINK("http://gocook.dk/kokkeskolen/laks-dampe","Laks, dampe")</f>
        <v>Laks, dampe</v>
      </c>
      <c r="H62" s="20"/>
      <c r="I62" s="135"/>
      <c r="J62" s="385"/>
      <c r="K62" s="355"/>
      <c r="L62" s="312"/>
      <c r="M62" s="342"/>
      <c r="N62" s="358"/>
    </row>
    <row r="63" spans="1:17" ht="15.5">
      <c r="A63" s="327"/>
      <c r="B63" s="415"/>
      <c r="C63" s="418"/>
      <c r="D63" s="327"/>
      <c r="E63" s="422"/>
      <c r="F63" s="43" t="s">
        <v>71</v>
      </c>
      <c r="H63" s="19"/>
      <c r="I63" s="136"/>
      <c r="J63" s="386"/>
      <c r="K63" s="355"/>
      <c r="L63" s="312"/>
      <c r="M63" s="342"/>
      <c r="N63" s="358"/>
    </row>
    <row r="64" spans="1:17" ht="15.5">
      <c r="A64" s="327"/>
      <c r="B64" s="415"/>
      <c r="C64" s="418"/>
      <c r="D64" s="327"/>
      <c r="E64" s="422"/>
      <c r="F64" s="43" t="s">
        <v>72</v>
      </c>
      <c r="H64" s="19"/>
      <c r="I64" s="136"/>
      <c r="J64" s="129"/>
      <c r="K64" s="355"/>
      <c r="L64" s="312"/>
      <c r="M64" s="342"/>
      <c r="N64" s="358"/>
    </row>
    <row r="65" spans="1:14" ht="15.5">
      <c r="A65" s="327"/>
      <c r="B65" s="415"/>
      <c r="C65" s="418"/>
      <c r="D65" s="327"/>
      <c r="E65" s="422"/>
      <c r="F65" s="43" t="s">
        <v>73</v>
      </c>
      <c r="H65" s="19"/>
      <c r="I65" s="136"/>
      <c r="J65" s="129"/>
      <c r="K65" s="355"/>
      <c r="L65" s="312"/>
      <c r="M65" s="342"/>
      <c r="N65" s="358"/>
    </row>
    <row r="66" spans="1:14" ht="16" thickBot="1">
      <c r="A66" s="327"/>
      <c r="B66" s="415"/>
      <c r="C66" s="418"/>
      <c r="D66" s="327"/>
      <c r="E66" s="422"/>
      <c r="F66" s="34" t="s">
        <v>74</v>
      </c>
      <c r="H66" s="19"/>
      <c r="I66" s="136"/>
      <c r="J66" s="129"/>
      <c r="K66" s="355"/>
      <c r="L66" s="312"/>
      <c r="M66" s="342"/>
      <c r="N66" s="358"/>
    </row>
    <row r="67" spans="1:14" ht="16" thickTop="1">
      <c r="A67" s="327"/>
      <c r="B67" s="415"/>
      <c r="C67" s="418"/>
      <c r="D67" s="327"/>
      <c r="E67" s="428" t="s">
        <v>42</v>
      </c>
      <c r="F67" s="40"/>
      <c r="G67" s="26"/>
      <c r="H67" s="194" t="str">
        <f>HYPERLINK("http://gocook.dk/gocookbook/pandekager","Pandekager")</f>
        <v>Pandekager</v>
      </c>
      <c r="I67" s="370" t="s">
        <v>43</v>
      </c>
      <c r="J67" s="137"/>
      <c r="K67" s="355"/>
      <c r="L67" s="312"/>
      <c r="M67" s="342"/>
      <c r="N67" s="358"/>
    </row>
    <row r="68" spans="1:14" ht="15.5">
      <c r="A68" s="327"/>
      <c r="B68" s="415"/>
      <c r="C68" s="418"/>
      <c r="D68" s="327"/>
      <c r="E68" s="422"/>
      <c r="F68" s="19"/>
      <c r="H68" s="55" t="str">
        <f>HYPERLINK("http://gocook.dk/gocookbook/pastasalat-med-skinke","Pastasalat med skinke")</f>
        <v>Pastasalat med skinke</v>
      </c>
      <c r="I68" s="460"/>
      <c r="J68" s="138"/>
      <c r="K68" s="355"/>
      <c r="L68" s="312"/>
      <c r="M68" s="342"/>
      <c r="N68" s="358"/>
    </row>
    <row r="69" spans="1:14" ht="12.5">
      <c r="A69" s="327"/>
      <c r="B69" s="415"/>
      <c r="C69" s="418"/>
      <c r="D69" s="327"/>
      <c r="E69" s="422"/>
      <c r="F69" s="19"/>
      <c r="H69" s="19"/>
      <c r="I69" s="460"/>
      <c r="J69" s="138"/>
      <c r="K69" s="355"/>
      <c r="L69" s="312"/>
      <c r="M69" s="342"/>
      <c r="N69" s="358"/>
    </row>
    <row r="70" spans="1:14" ht="12.5">
      <c r="A70" s="327"/>
      <c r="B70" s="415"/>
      <c r="C70" s="418"/>
      <c r="D70" s="327"/>
      <c r="E70" s="422"/>
      <c r="F70" s="19"/>
      <c r="H70" s="19"/>
      <c r="I70" s="460"/>
      <c r="J70" s="138"/>
      <c r="K70" s="355"/>
      <c r="L70" s="312"/>
      <c r="M70" s="342"/>
      <c r="N70" s="358"/>
    </row>
    <row r="71" spans="1:14" ht="13" thickBot="1">
      <c r="A71" s="327"/>
      <c r="B71" s="415"/>
      <c r="C71" s="420"/>
      <c r="D71" s="327"/>
      <c r="E71" s="422"/>
      <c r="F71" s="19"/>
      <c r="H71" s="19"/>
      <c r="I71" s="449"/>
      <c r="J71" s="138"/>
      <c r="K71" s="459"/>
      <c r="L71" s="349"/>
      <c r="M71" s="342"/>
      <c r="N71" s="358"/>
    </row>
    <row r="72" spans="1:14" ht="17.25" customHeight="1" thickTop="1" thickBot="1">
      <c r="A72" s="326" t="s">
        <v>75</v>
      </c>
      <c r="B72" s="414" t="s">
        <v>12</v>
      </c>
      <c r="C72" s="425" t="s">
        <v>559</v>
      </c>
      <c r="D72" s="326" t="s">
        <v>76</v>
      </c>
      <c r="E72" s="123"/>
      <c r="F72" s="56" t="s">
        <v>77</v>
      </c>
      <c r="G72" s="57"/>
      <c r="H72" s="58"/>
      <c r="I72" s="139"/>
      <c r="J72" s="139"/>
      <c r="K72" s="140"/>
      <c r="L72" s="140"/>
      <c r="M72" s="165"/>
      <c r="N72" s="176"/>
    </row>
    <row r="73" spans="1:14" ht="17.25" customHeight="1" thickTop="1" thickBot="1">
      <c r="A73" s="327"/>
      <c r="B73" s="415"/>
      <c r="C73" s="418"/>
      <c r="D73" s="327"/>
      <c r="E73" s="430" t="s">
        <v>78</v>
      </c>
      <c r="F73" s="17" t="s">
        <v>79</v>
      </c>
      <c r="H73" s="19"/>
      <c r="I73" s="350" t="s">
        <v>81</v>
      </c>
      <c r="J73" s="443" t="s">
        <v>80</v>
      </c>
      <c r="K73" s="353" t="s">
        <v>570</v>
      </c>
      <c r="L73" s="336" t="s">
        <v>590</v>
      </c>
      <c r="M73" s="339" t="s">
        <v>82</v>
      </c>
      <c r="N73" s="381">
        <v>2</v>
      </c>
    </row>
    <row r="74" spans="1:14" ht="16" thickTop="1">
      <c r="A74" s="327"/>
      <c r="B74" s="415"/>
      <c r="C74" s="418"/>
      <c r="D74" s="327"/>
      <c r="E74" s="415"/>
      <c r="F74" s="43" t="s">
        <v>83</v>
      </c>
      <c r="H74" s="19"/>
      <c r="I74" s="351"/>
      <c r="J74" s="442"/>
      <c r="K74" s="354"/>
      <c r="L74" s="337"/>
      <c r="M74" s="340"/>
      <c r="N74" s="372"/>
    </row>
    <row r="75" spans="1:14" ht="15.5">
      <c r="A75" s="327"/>
      <c r="B75" s="415"/>
      <c r="C75" s="418"/>
      <c r="D75" s="327"/>
      <c r="E75" s="415"/>
      <c r="F75" s="43" t="s">
        <v>84</v>
      </c>
      <c r="H75" s="19"/>
      <c r="I75" s="351"/>
      <c r="J75" s="442"/>
      <c r="K75" s="354"/>
      <c r="L75" s="337"/>
      <c r="M75" s="340"/>
      <c r="N75" s="372"/>
    </row>
    <row r="76" spans="1:14" ht="30" customHeight="1">
      <c r="A76" s="327"/>
      <c r="B76" s="415"/>
      <c r="C76" s="418"/>
      <c r="D76" s="327"/>
      <c r="E76" s="415"/>
      <c r="F76" s="43" t="s">
        <v>85</v>
      </c>
      <c r="H76" s="19"/>
      <c r="I76" s="351"/>
      <c r="J76" s="365" t="s">
        <v>86</v>
      </c>
      <c r="K76" s="354"/>
      <c r="L76" s="337"/>
      <c r="M76" s="340"/>
      <c r="N76" s="372"/>
    </row>
    <row r="77" spans="1:14" ht="15.5">
      <c r="A77" s="327"/>
      <c r="B77" s="415"/>
      <c r="C77" s="418"/>
      <c r="D77" s="327"/>
      <c r="E77" s="415"/>
      <c r="F77" s="43" t="s">
        <v>87</v>
      </c>
      <c r="H77" s="19"/>
      <c r="I77" s="212" t="str">
        <f>HYPERLINK("http://gocook.dk/gocookbook","GoCook book")</f>
        <v>GoCook book</v>
      </c>
      <c r="J77" s="364"/>
      <c r="K77" s="354"/>
      <c r="L77" s="337"/>
      <c r="M77" s="348" t="s">
        <v>88</v>
      </c>
      <c r="N77" s="372"/>
    </row>
    <row r="78" spans="1:14" ht="16" thickBot="1">
      <c r="A78" s="327"/>
      <c r="B78" s="415"/>
      <c r="C78" s="418"/>
      <c r="D78" s="327"/>
      <c r="E78" s="415"/>
      <c r="F78" s="43" t="s">
        <v>89</v>
      </c>
      <c r="H78" s="19"/>
      <c r="I78" s="350" t="s">
        <v>90</v>
      </c>
      <c r="J78" s="366"/>
      <c r="K78" s="354"/>
      <c r="L78" s="337"/>
      <c r="M78" s="340"/>
      <c r="N78" s="372"/>
    </row>
    <row r="79" spans="1:14" ht="24.75" customHeight="1" thickTop="1" thickBot="1">
      <c r="A79" s="327"/>
      <c r="B79" s="415"/>
      <c r="C79" s="418"/>
      <c r="D79" s="327"/>
      <c r="E79" s="415"/>
      <c r="F79" s="94" t="s">
        <v>563</v>
      </c>
      <c r="H79" s="19"/>
      <c r="I79" s="351"/>
      <c r="J79" s="141"/>
      <c r="K79" s="354"/>
      <c r="L79" s="338"/>
      <c r="M79" s="344"/>
      <c r="N79" s="382"/>
    </row>
    <row r="80" spans="1:14" ht="16" thickTop="1">
      <c r="A80" s="327"/>
      <c r="B80" s="415"/>
      <c r="C80" s="418"/>
      <c r="D80" s="327"/>
      <c r="E80" s="415"/>
      <c r="F80" s="43" t="s">
        <v>91</v>
      </c>
      <c r="G80" s="50" t="str">
        <f>HYPERLINK("http://gocook.dk/gocook-tv/film-03-madpyramide-spillet-live","Madpyramide-spillet LIVE ")</f>
        <v xml:space="preserve">Madpyramide-spillet LIVE </v>
      </c>
      <c r="H80" s="20"/>
      <c r="I80" s="351"/>
      <c r="J80" s="138"/>
      <c r="K80" s="355"/>
      <c r="L80" s="311"/>
      <c r="M80" s="341"/>
      <c r="N80" s="314"/>
    </row>
    <row r="81" spans="1:14" ht="16" thickBot="1">
      <c r="A81" s="327"/>
      <c r="B81" s="415"/>
      <c r="C81" s="418"/>
      <c r="D81" s="327"/>
      <c r="E81" s="415"/>
      <c r="F81" s="43" t="s">
        <v>92</v>
      </c>
      <c r="H81" s="19"/>
      <c r="I81" s="213" t="str">
        <f>HYPERLINK("https://madpyramiden.dk/spil/","Madpyramidespillet")</f>
        <v>Madpyramidespillet</v>
      </c>
      <c r="J81" s="138"/>
      <c r="K81" s="355"/>
      <c r="L81" s="312"/>
      <c r="M81" s="342"/>
      <c r="N81" s="315"/>
    </row>
    <row r="82" spans="1:14" ht="13" thickTop="1">
      <c r="A82" s="327"/>
      <c r="B82" s="415"/>
      <c r="C82" s="418"/>
      <c r="D82" s="327"/>
      <c r="E82" s="308" t="s">
        <v>93</v>
      </c>
      <c r="F82" s="40"/>
      <c r="G82" s="26"/>
      <c r="H82" s="40"/>
      <c r="I82" s="142"/>
      <c r="J82" s="134"/>
      <c r="K82" s="355"/>
      <c r="L82" s="312"/>
      <c r="M82" s="342"/>
      <c r="N82" s="315"/>
    </row>
    <row r="83" spans="1:14" s="269" customFormat="1" ht="12.5">
      <c r="A83" s="327"/>
      <c r="B83" s="415"/>
      <c r="C83" s="418"/>
      <c r="D83" s="327"/>
      <c r="E83" s="309"/>
      <c r="F83" s="19"/>
      <c r="G83" s="275"/>
      <c r="H83" s="19"/>
      <c r="I83" s="136"/>
      <c r="J83" s="276"/>
      <c r="K83" s="355"/>
      <c r="L83" s="312"/>
      <c r="M83" s="342"/>
      <c r="N83" s="315"/>
    </row>
    <row r="84" spans="1:14" s="269" customFormat="1" ht="12.5">
      <c r="A84" s="327"/>
      <c r="B84" s="415"/>
      <c r="C84" s="418"/>
      <c r="D84" s="327"/>
      <c r="E84" s="309"/>
      <c r="F84" s="19"/>
      <c r="G84" s="275"/>
      <c r="H84" s="19"/>
      <c r="I84" s="136"/>
      <c r="J84" s="276"/>
      <c r="K84" s="355"/>
      <c r="L84" s="312"/>
      <c r="M84" s="342"/>
      <c r="N84" s="315"/>
    </row>
    <row r="85" spans="1:14" ht="13" thickBot="1">
      <c r="A85" s="327"/>
      <c r="B85" s="415"/>
      <c r="C85" s="419"/>
      <c r="D85" s="327"/>
      <c r="E85" s="310"/>
      <c r="F85" s="19"/>
      <c r="H85" s="19"/>
      <c r="I85" s="136"/>
      <c r="J85" s="129"/>
      <c r="K85" s="356"/>
      <c r="L85" s="313"/>
      <c r="M85" s="362"/>
      <c r="N85" s="316"/>
    </row>
    <row r="86" spans="1:14" ht="16" thickBot="1">
      <c r="A86" s="327"/>
      <c r="B86" s="416" t="s">
        <v>12</v>
      </c>
      <c r="C86" s="417" t="s">
        <v>559</v>
      </c>
      <c r="D86" s="327"/>
      <c r="E86" s="122"/>
      <c r="F86" s="31" t="s">
        <v>94</v>
      </c>
      <c r="G86" s="32"/>
      <c r="H86" s="42"/>
      <c r="I86" s="132"/>
      <c r="J86" s="132"/>
      <c r="K86" s="133"/>
      <c r="L86" s="133"/>
      <c r="M86" s="164"/>
      <c r="N86" s="175"/>
    </row>
    <row r="87" spans="1:14" ht="17.25" customHeight="1" thickTop="1" thickBot="1">
      <c r="A87" s="327"/>
      <c r="B87" s="415"/>
      <c r="C87" s="418"/>
      <c r="D87" s="327"/>
      <c r="E87" s="421" t="s">
        <v>15</v>
      </c>
      <c r="F87" s="17" t="s">
        <v>95</v>
      </c>
      <c r="H87" s="19"/>
      <c r="I87" s="214"/>
      <c r="J87" s="363" t="s">
        <v>96</v>
      </c>
      <c r="K87" s="353" t="s">
        <v>570</v>
      </c>
      <c r="L87" s="336" t="s">
        <v>589</v>
      </c>
      <c r="M87" s="339" t="s">
        <v>62</v>
      </c>
      <c r="N87" s="357">
        <v>1</v>
      </c>
    </row>
    <row r="88" spans="1:14" ht="39" customHeight="1" thickTop="1">
      <c r="A88" s="327"/>
      <c r="B88" s="415"/>
      <c r="C88" s="418"/>
      <c r="D88" s="327"/>
      <c r="E88" s="422"/>
      <c r="F88" s="43" t="s">
        <v>97</v>
      </c>
      <c r="G88" s="60" t="str">
        <f>HYPERLINK("http://gocook.dk/gocook-tv/film-04-se-hele-mikkels-madpakkeeventyr-i-norge-sverige-island-og-danmark","Se hele Mikkels madpakkeeventyr i Norge, Sverige, Ssland og Danmark")</f>
        <v>Se hele Mikkels madpakkeeventyr i Norge, Sverige, Ssland og Danmark</v>
      </c>
      <c r="H88" s="19"/>
      <c r="I88" s="215"/>
      <c r="J88" s="364"/>
      <c r="K88" s="354"/>
      <c r="L88" s="337"/>
      <c r="M88" s="344"/>
      <c r="N88" s="358"/>
    </row>
    <row r="89" spans="1:14" ht="15.5">
      <c r="A89" s="327"/>
      <c r="B89" s="415"/>
      <c r="C89" s="418"/>
      <c r="D89" s="327"/>
      <c r="E89" s="422"/>
      <c r="F89" s="43" t="s">
        <v>98</v>
      </c>
      <c r="H89" s="19"/>
      <c r="I89" s="215"/>
      <c r="J89" s="366"/>
      <c r="K89" s="354"/>
      <c r="L89" s="337"/>
      <c r="M89" s="348" t="s">
        <v>65</v>
      </c>
      <c r="N89" s="358"/>
    </row>
    <row r="90" spans="1:14" ht="31.5" thickBot="1">
      <c r="A90" s="327"/>
      <c r="B90" s="415"/>
      <c r="C90" s="418"/>
      <c r="D90" s="327"/>
      <c r="E90" s="422"/>
      <c r="F90" s="43" t="s">
        <v>99</v>
      </c>
      <c r="G90" s="60" t="str">
        <f>HYPERLINK("http://gocook.dk/gocook-tv/film-11-chips-eller-rugbroedsmadder-hvem-faar-foerst-spist-op","Chips eller rugbrødsmadder, hvem får først spist op?")</f>
        <v>Chips eller rugbrødsmadder, hvem får først spist op?</v>
      </c>
      <c r="H90" s="19"/>
      <c r="I90" s="136"/>
      <c r="J90" s="141"/>
      <c r="K90" s="354"/>
      <c r="L90" s="338"/>
      <c r="M90" s="344"/>
      <c r="N90" s="359"/>
    </row>
    <row r="91" spans="1:14" ht="31.5" thickBot="1">
      <c r="A91" s="327"/>
      <c r="B91" s="415"/>
      <c r="C91" s="418"/>
      <c r="D91" s="327"/>
      <c r="E91" s="422"/>
      <c r="F91" s="43" t="s">
        <v>100</v>
      </c>
      <c r="G91" s="60" t="str">
        <f>HYPERLINK("http://gocook.dk/gocook-tv/film-12-gorm-og-mikkel-i-hamsterhjulet-hvem-skal-loebe-laengst","Gorm og Mikkel i hamsterhjulet. Hvem skal løbe længst?")</f>
        <v>Gorm og Mikkel i hamsterhjulet. Hvem skal løbe længst?</v>
      </c>
      <c r="H91" s="19"/>
      <c r="I91" s="136"/>
      <c r="J91" s="129"/>
      <c r="K91" s="355"/>
      <c r="L91" s="312"/>
      <c r="M91" s="341"/>
      <c r="N91" s="360"/>
    </row>
    <row r="92" spans="1:14" ht="32" thickTop="1" thickBot="1">
      <c r="A92" s="327"/>
      <c r="B92" s="415"/>
      <c r="C92" s="418"/>
      <c r="D92" s="327"/>
      <c r="E92" s="422"/>
      <c r="F92" s="17" t="s">
        <v>101</v>
      </c>
      <c r="G92" s="60" t="str">
        <f>HYPERLINK("http://gocook.dk/gocook-tv/film-14-se-hvor-hurtigt-sukkeret-kommer-ud-i-mikkels-blod","Se hvor hurtigt sukkeret kommer ud i Mikkels blod")</f>
        <v>Se hvor hurtigt sukkeret kommer ud i Mikkels blod</v>
      </c>
      <c r="H92" s="19"/>
      <c r="I92" s="136"/>
      <c r="J92" s="129"/>
      <c r="K92" s="355"/>
      <c r="L92" s="312"/>
      <c r="M92" s="342"/>
      <c r="N92" s="358"/>
    </row>
    <row r="93" spans="1:14" ht="31.5" thickTop="1">
      <c r="A93" s="327"/>
      <c r="B93" s="415"/>
      <c r="C93" s="418"/>
      <c r="D93" s="327"/>
      <c r="E93" s="422"/>
      <c r="F93" s="43" t="s">
        <v>102</v>
      </c>
      <c r="G93" s="60" t="str">
        <f>HYPERLINK("http://gocook.dk/gocook-tv/film-01-se-hvad-gorm-og-mikkel-fandt-i-skoletaskerne","Se hvad Gorm og Mikkel fandt i skoletaskerne")</f>
        <v>Se hvad Gorm og Mikkel fandt i skoletaskerne</v>
      </c>
      <c r="H93" s="19"/>
      <c r="I93" s="136"/>
      <c r="J93" s="129"/>
      <c r="K93" s="355"/>
      <c r="L93" s="312"/>
      <c r="M93" s="342"/>
      <c r="N93" s="358"/>
    </row>
    <row r="94" spans="1:14" ht="16" thickBot="1">
      <c r="A94" s="327"/>
      <c r="B94" s="415"/>
      <c r="C94" s="418"/>
      <c r="D94" s="327"/>
      <c r="E94" s="422"/>
      <c r="F94" s="43" t="s">
        <v>103</v>
      </c>
      <c r="H94" s="19"/>
      <c r="I94" s="136"/>
      <c r="J94" s="129"/>
      <c r="K94" s="355"/>
      <c r="L94" s="312"/>
      <c r="M94" s="342"/>
      <c r="N94" s="358"/>
    </row>
    <row r="95" spans="1:14" ht="16" thickTop="1">
      <c r="A95" s="327"/>
      <c r="B95" s="415"/>
      <c r="C95" s="418"/>
      <c r="D95" s="327"/>
      <c r="E95" s="428" t="s">
        <v>104</v>
      </c>
      <c r="F95" s="40"/>
      <c r="G95" s="26"/>
      <c r="H95" s="41" t="str">
        <f>HYPERLINK("http://gocook.dk/gocookbook/wrap-med-tyrkiske-oksedeller","Wrap med tyrkiskeoksedeller")</f>
        <v>Wrap med tyrkiskeoksedeller</v>
      </c>
      <c r="I95" s="370" t="s">
        <v>43</v>
      </c>
      <c r="J95" s="134"/>
      <c r="K95" s="355"/>
      <c r="L95" s="312"/>
      <c r="M95" s="342"/>
      <c r="N95" s="358"/>
    </row>
    <row r="96" spans="1:14" ht="15.5">
      <c r="A96" s="327"/>
      <c r="B96" s="415"/>
      <c r="C96" s="418"/>
      <c r="D96" s="327"/>
      <c r="E96" s="422"/>
      <c r="F96" s="19"/>
      <c r="H96" s="61" t="str">
        <f>HYPERLINK("http://gocook.dk/gocookbook/aeggesalat-i-bagel","Æggesalat i bagel")</f>
        <v>Æggesalat i bagel</v>
      </c>
      <c r="I96" s="351"/>
      <c r="J96" s="129"/>
      <c r="K96" s="355"/>
      <c r="L96" s="312"/>
      <c r="M96" s="342"/>
      <c r="N96" s="358"/>
    </row>
    <row r="97" spans="1:14" ht="15.5">
      <c r="A97" s="327"/>
      <c r="B97" s="415"/>
      <c r="C97" s="418"/>
      <c r="D97" s="327"/>
      <c r="E97" s="422"/>
      <c r="F97" s="19"/>
      <c r="H97" s="61" t="str">
        <f>HYPERLINK("http://gocook.dk/gocookbook/troels-rugboller-med-chokolade","Troels rugboller med chokolade")</f>
        <v>Troels rugboller med chokolade</v>
      </c>
      <c r="I97" s="351"/>
      <c r="J97" s="129"/>
      <c r="K97" s="355"/>
      <c r="L97" s="312"/>
      <c r="M97" s="342"/>
      <c r="N97" s="358"/>
    </row>
    <row r="98" spans="1:14" ht="15.5">
      <c r="A98" s="327"/>
      <c r="B98" s="415"/>
      <c r="C98" s="418"/>
      <c r="D98" s="327"/>
      <c r="E98" s="422"/>
      <c r="F98" s="19"/>
      <c r="H98" s="61" t="str">
        <f>HYPERLINK("http://gocook.dk/gocookbook/myslibar","Myslibar")</f>
        <v>Myslibar</v>
      </c>
      <c r="I98" s="351"/>
      <c r="J98" s="129"/>
      <c r="K98" s="355"/>
      <c r="L98" s="312"/>
      <c r="M98" s="342"/>
      <c r="N98" s="358"/>
    </row>
    <row r="99" spans="1:14" ht="16" thickBot="1">
      <c r="A99" s="327"/>
      <c r="B99" s="415"/>
      <c r="C99" s="419"/>
      <c r="D99" s="327"/>
      <c r="E99" s="422"/>
      <c r="F99" s="19"/>
      <c r="H99" s="61" t="str">
        <f>HYPERLINK("http://gocook.dk/gocookbook/kikaertesalat","Kikærtesalat")</f>
        <v>Kikærtesalat</v>
      </c>
      <c r="I99" s="352"/>
      <c r="J99" s="129"/>
      <c r="K99" s="356"/>
      <c r="L99" s="313"/>
      <c r="M99" s="362"/>
      <c r="N99" s="377"/>
    </row>
    <row r="100" spans="1:14" ht="16" thickBot="1">
      <c r="A100" s="327"/>
      <c r="B100" s="416" t="s">
        <v>12</v>
      </c>
      <c r="C100" s="417" t="s">
        <v>559</v>
      </c>
      <c r="D100" s="327"/>
      <c r="E100" s="122"/>
      <c r="F100" s="31" t="s">
        <v>105</v>
      </c>
      <c r="G100" s="32"/>
      <c r="H100" s="42"/>
      <c r="I100" s="132"/>
      <c r="J100" s="132"/>
      <c r="K100" s="133"/>
      <c r="L100" s="133"/>
      <c r="M100" s="164"/>
      <c r="N100" s="175"/>
    </row>
    <row r="101" spans="1:14" ht="17.25" customHeight="1" thickTop="1" thickBot="1">
      <c r="A101" s="327"/>
      <c r="B101" s="415"/>
      <c r="C101" s="418"/>
      <c r="D101" s="327"/>
      <c r="E101" s="434" t="s">
        <v>15</v>
      </c>
      <c r="F101" s="94" t="s">
        <v>563</v>
      </c>
      <c r="G101" s="18"/>
      <c r="I101" s="129"/>
      <c r="J101" s="384" t="s">
        <v>106</v>
      </c>
      <c r="K101" s="453" t="s">
        <v>571</v>
      </c>
      <c r="L101" s="336" t="s">
        <v>591</v>
      </c>
      <c r="M101" s="339" t="s">
        <v>107</v>
      </c>
      <c r="N101" s="357">
        <v>2</v>
      </c>
    </row>
    <row r="102" spans="1:14" ht="16" thickTop="1">
      <c r="A102" s="327"/>
      <c r="B102" s="415"/>
      <c r="C102" s="418"/>
      <c r="D102" s="327"/>
      <c r="E102" s="433"/>
      <c r="F102" s="62" t="s">
        <v>108</v>
      </c>
      <c r="G102" s="19"/>
      <c r="I102" s="129"/>
      <c r="J102" s="385"/>
      <c r="K102" s="354"/>
      <c r="L102" s="337"/>
      <c r="M102" s="340"/>
      <c r="N102" s="358"/>
    </row>
    <row r="103" spans="1:14" ht="21.75" customHeight="1">
      <c r="A103" s="327"/>
      <c r="B103" s="415"/>
      <c r="C103" s="418"/>
      <c r="D103" s="327"/>
      <c r="E103" s="433"/>
      <c r="F103" s="62" t="s">
        <v>109</v>
      </c>
      <c r="G103" s="19"/>
      <c r="I103" s="129"/>
      <c r="J103" s="385"/>
      <c r="K103" s="354"/>
      <c r="L103" s="337"/>
      <c r="M103" s="340"/>
      <c r="N103" s="358"/>
    </row>
    <row r="104" spans="1:14" ht="15.5">
      <c r="A104" s="327"/>
      <c r="B104" s="415"/>
      <c r="C104" s="418"/>
      <c r="D104" s="327"/>
      <c r="E104" s="433"/>
      <c r="F104" s="62" t="s">
        <v>110</v>
      </c>
      <c r="G104" s="19"/>
      <c r="I104" s="129"/>
      <c r="J104" s="385"/>
      <c r="K104" s="354"/>
      <c r="L104" s="337"/>
      <c r="M104" s="348" t="s">
        <v>111</v>
      </c>
      <c r="N104" s="358"/>
    </row>
    <row r="105" spans="1:14" ht="15.5">
      <c r="A105" s="327"/>
      <c r="B105" s="415"/>
      <c r="C105" s="418"/>
      <c r="D105" s="327"/>
      <c r="E105" s="433"/>
      <c r="F105" s="62" t="s">
        <v>112</v>
      </c>
      <c r="G105" s="19"/>
      <c r="I105" s="129"/>
      <c r="J105" s="410" t="s">
        <v>113</v>
      </c>
      <c r="K105" s="354"/>
      <c r="L105" s="337"/>
      <c r="M105" s="340"/>
      <c r="N105" s="358"/>
    </row>
    <row r="106" spans="1:14" ht="27" customHeight="1" thickBot="1">
      <c r="A106" s="327"/>
      <c r="B106" s="415"/>
      <c r="C106" s="418"/>
      <c r="D106" s="327"/>
      <c r="E106" s="433"/>
      <c r="F106" s="62" t="s">
        <v>114</v>
      </c>
      <c r="G106" s="19"/>
      <c r="I106" s="129"/>
      <c r="J106" s="385"/>
      <c r="K106" s="354"/>
      <c r="L106" s="338"/>
      <c r="M106" s="344"/>
      <c r="N106" s="359"/>
    </row>
    <row r="107" spans="1:14" ht="15.5">
      <c r="A107" s="327"/>
      <c r="B107" s="415"/>
      <c r="C107" s="418"/>
      <c r="D107" s="327"/>
      <c r="E107" s="433"/>
      <c r="F107" s="62" t="s">
        <v>115</v>
      </c>
      <c r="G107" s="19"/>
      <c r="I107" s="129"/>
      <c r="J107" s="385"/>
      <c r="K107" s="355"/>
      <c r="L107" s="312"/>
      <c r="M107" s="341"/>
      <c r="N107" s="360"/>
    </row>
    <row r="108" spans="1:14" ht="15.5">
      <c r="A108" s="327"/>
      <c r="B108" s="415"/>
      <c r="C108" s="418"/>
      <c r="D108" s="327"/>
      <c r="E108" s="433"/>
      <c r="F108" s="62" t="s">
        <v>116</v>
      </c>
      <c r="G108" s="19"/>
      <c r="I108" s="129"/>
      <c r="J108" s="386"/>
      <c r="K108" s="355"/>
      <c r="L108" s="312"/>
      <c r="M108" s="342"/>
      <c r="N108" s="358"/>
    </row>
    <row r="109" spans="1:14" ht="15.5">
      <c r="A109" s="327"/>
      <c r="B109" s="415"/>
      <c r="C109" s="418"/>
      <c r="D109" s="327"/>
      <c r="E109" s="433"/>
      <c r="F109" s="62" t="s">
        <v>117</v>
      </c>
      <c r="G109" s="19"/>
      <c r="I109" s="129"/>
      <c r="J109" s="131"/>
      <c r="K109" s="355"/>
      <c r="L109" s="312"/>
      <c r="M109" s="342"/>
      <c r="N109" s="358"/>
    </row>
    <row r="110" spans="1:14" ht="16" thickBot="1">
      <c r="A110" s="327"/>
      <c r="B110" s="415"/>
      <c r="C110" s="418"/>
      <c r="D110" s="327"/>
      <c r="E110" s="433"/>
      <c r="F110" s="62" t="s">
        <v>118</v>
      </c>
      <c r="G110" s="19"/>
      <c r="I110" s="129"/>
      <c r="J110" s="131"/>
      <c r="K110" s="355"/>
      <c r="L110" s="312"/>
      <c r="M110" s="342"/>
      <c r="N110" s="358"/>
    </row>
    <row r="111" spans="1:14" ht="16.5" thickTop="1" thickBot="1">
      <c r="A111" s="327"/>
      <c r="B111" s="415"/>
      <c r="C111" s="418"/>
      <c r="D111" s="327"/>
      <c r="E111" s="433"/>
      <c r="F111" s="17" t="s">
        <v>95</v>
      </c>
      <c r="G111" s="19"/>
      <c r="I111" s="129"/>
      <c r="J111" s="131"/>
      <c r="K111" s="355"/>
      <c r="L111" s="312"/>
      <c r="M111" s="342"/>
      <c r="N111" s="358"/>
    </row>
    <row r="112" spans="1:14" ht="16.5" thickTop="1" thickBot="1">
      <c r="A112" s="327"/>
      <c r="B112" s="415"/>
      <c r="C112" s="418"/>
      <c r="D112" s="327"/>
      <c r="E112" s="433"/>
      <c r="F112" s="43" t="s">
        <v>99</v>
      </c>
      <c r="G112" s="19"/>
      <c r="I112" s="129"/>
      <c r="J112" s="131"/>
      <c r="K112" s="355"/>
      <c r="L112" s="312"/>
      <c r="M112" s="342"/>
      <c r="N112" s="358"/>
    </row>
    <row r="113" spans="1:14" ht="13" thickTop="1">
      <c r="A113" s="327"/>
      <c r="B113" s="415"/>
      <c r="C113" s="418"/>
      <c r="D113" s="327"/>
      <c r="E113" s="308" t="s">
        <v>93</v>
      </c>
      <c r="F113" s="26"/>
      <c r="G113" s="40"/>
      <c r="H113" s="216"/>
      <c r="I113" s="452" t="s">
        <v>43</v>
      </c>
      <c r="J113" s="130"/>
      <c r="K113" s="355"/>
      <c r="L113" s="312"/>
      <c r="M113" s="342"/>
      <c r="N113" s="358"/>
    </row>
    <row r="114" spans="1:14" ht="12.5">
      <c r="A114" s="327"/>
      <c r="B114" s="415"/>
      <c r="C114" s="418"/>
      <c r="D114" s="327"/>
      <c r="E114" s="309"/>
      <c r="G114" s="19"/>
      <c r="H114" s="206"/>
      <c r="I114" s="364"/>
      <c r="J114" s="131"/>
      <c r="K114" s="355"/>
      <c r="L114" s="312"/>
      <c r="M114" s="342"/>
      <c r="N114" s="358"/>
    </row>
    <row r="115" spans="1:14" ht="12.5">
      <c r="A115" s="327"/>
      <c r="B115" s="415"/>
      <c r="C115" s="418"/>
      <c r="D115" s="327"/>
      <c r="E115" s="309"/>
      <c r="G115" s="19"/>
      <c r="H115" s="206"/>
      <c r="I115" s="364"/>
      <c r="J115" s="131"/>
      <c r="K115" s="355"/>
      <c r="L115" s="312"/>
      <c r="M115" s="342"/>
      <c r="N115" s="358"/>
    </row>
    <row r="116" spans="1:14" ht="12.5">
      <c r="A116" s="327"/>
      <c r="B116" s="415"/>
      <c r="C116" s="418"/>
      <c r="D116" s="327"/>
      <c r="E116" s="309"/>
      <c r="G116" s="19"/>
      <c r="H116" s="206"/>
      <c r="I116" s="364"/>
      <c r="J116" s="131"/>
      <c r="K116" s="355"/>
      <c r="L116" s="312"/>
      <c r="M116" s="342"/>
      <c r="N116" s="358"/>
    </row>
    <row r="117" spans="1:14" ht="13" thickBot="1">
      <c r="A117" s="327"/>
      <c r="B117" s="415"/>
      <c r="C117" s="419"/>
      <c r="D117" s="327"/>
      <c r="E117" s="310"/>
      <c r="G117" s="19"/>
      <c r="H117" s="217"/>
      <c r="I117" s="366"/>
      <c r="J117" s="131"/>
      <c r="K117" s="356"/>
      <c r="L117" s="313"/>
      <c r="M117" s="362"/>
      <c r="N117" s="377"/>
    </row>
    <row r="118" spans="1:14" ht="16" thickBot="1">
      <c r="A118" s="327"/>
      <c r="B118" s="416" t="s">
        <v>12</v>
      </c>
      <c r="C118" s="417" t="s">
        <v>560</v>
      </c>
      <c r="D118" s="327"/>
      <c r="E118" s="122"/>
      <c r="F118" s="31" t="s">
        <v>119</v>
      </c>
      <c r="G118" s="32"/>
      <c r="H118" s="42"/>
      <c r="I118" s="132"/>
      <c r="J118" s="132"/>
      <c r="K118" s="133"/>
      <c r="L118" s="133"/>
      <c r="M118" s="164"/>
      <c r="N118" s="175"/>
    </row>
    <row r="119" spans="1:14" ht="17.25" customHeight="1" thickTop="1" thickBot="1">
      <c r="A119" s="327"/>
      <c r="B119" s="415"/>
      <c r="C119" s="418"/>
      <c r="D119" s="327"/>
      <c r="E119" s="421" t="s">
        <v>15</v>
      </c>
      <c r="F119" s="17" t="s">
        <v>25</v>
      </c>
      <c r="H119" s="19"/>
      <c r="I119" s="214"/>
      <c r="J119" s="363" t="s">
        <v>120</v>
      </c>
      <c r="K119" s="353" t="s">
        <v>572</v>
      </c>
      <c r="L119" s="336" t="s">
        <v>592</v>
      </c>
      <c r="M119" s="339" t="s">
        <v>121</v>
      </c>
      <c r="N119" s="357">
        <v>1</v>
      </c>
    </row>
    <row r="120" spans="1:14" ht="16" thickTop="1">
      <c r="A120" s="327"/>
      <c r="B120" s="415"/>
      <c r="C120" s="418"/>
      <c r="D120" s="327"/>
      <c r="E120" s="422"/>
      <c r="F120" s="63" t="s">
        <v>122</v>
      </c>
      <c r="G120" s="50" t="str">
        <f>HYPERLINK("http://gocook.dk/gocook-tv/film-02-jan-fortaeller-om-oekologisk-landbrug","Jan fortæller om økologisk landbrug")</f>
        <v>Jan fortæller om økologisk landbrug</v>
      </c>
      <c r="H120" s="19"/>
      <c r="I120" s="215"/>
      <c r="J120" s="364"/>
      <c r="K120" s="354"/>
      <c r="L120" s="337"/>
      <c r="M120" s="340"/>
      <c r="N120" s="358"/>
    </row>
    <row r="121" spans="1:14" ht="21.75" customHeight="1">
      <c r="A121" s="327"/>
      <c r="B121" s="415"/>
      <c r="C121" s="418"/>
      <c r="D121" s="327"/>
      <c r="E121" s="422"/>
      <c r="F121" s="35" t="s">
        <v>123</v>
      </c>
      <c r="G121" s="50" t="str">
        <f>HYPERLINK("http://gocook.dk/gocook-tv/film-03-gorm-fortaeller-om-oekologi","Gorm fortæller om økologi")</f>
        <v>Gorm fortæller om økologi</v>
      </c>
      <c r="H121" s="19"/>
      <c r="I121" s="215"/>
      <c r="J121" s="365" t="s">
        <v>124</v>
      </c>
      <c r="K121" s="354"/>
      <c r="L121" s="337"/>
      <c r="M121" s="340"/>
      <c r="N121" s="358"/>
    </row>
    <row r="122" spans="1:14" ht="15.5">
      <c r="A122" s="327"/>
      <c r="B122" s="415"/>
      <c r="C122" s="418"/>
      <c r="D122" s="327"/>
      <c r="E122" s="422"/>
      <c r="F122" s="35" t="s">
        <v>125</v>
      </c>
      <c r="H122" s="19"/>
      <c r="I122" s="215"/>
      <c r="J122" s="366"/>
      <c r="K122" s="354"/>
      <c r="L122" s="337"/>
      <c r="M122" s="348" t="s">
        <v>611</v>
      </c>
      <c r="N122" s="358"/>
    </row>
    <row r="123" spans="1:14" ht="15.5">
      <c r="A123" s="327"/>
      <c r="B123" s="415"/>
      <c r="C123" s="418"/>
      <c r="D123" s="327"/>
      <c r="E123" s="422"/>
      <c r="F123" s="35" t="s">
        <v>126</v>
      </c>
      <c r="H123" s="19"/>
      <c r="I123" s="136"/>
      <c r="J123" s="129"/>
      <c r="K123" s="354"/>
      <c r="L123" s="337"/>
      <c r="M123" s="340"/>
      <c r="N123" s="358"/>
    </row>
    <row r="124" spans="1:14" ht="15.5">
      <c r="A124" s="327"/>
      <c r="B124" s="415"/>
      <c r="C124" s="418"/>
      <c r="D124" s="327"/>
      <c r="E124" s="422"/>
      <c r="F124" s="35" t="s">
        <v>127</v>
      </c>
      <c r="H124" s="19"/>
      <c r="I124" s="136"/>
      <c r="J124" s="129"/>
      <c r="K124" s="354"/>
      <c r="L124" s="337"/>
      <c r="M124" s="340"/>
      <c r="N124" s="358"/>
    </row>
    <row r="125" spans="1:14" ht="15.5">
      <c r="A125" s="327"/>
      <c r="B125" s="415"/>
      <c r="C125" s="418"/>
      <c r="D125" s="327"/>
      <c r="E125" s="422"/>
      <c r="F125" s="35" t="s">
        <v>128</v>
      </c>
      <c r="H125" s="19"/>
      <c r="I125" s="136"/>
      <c r="J125" s="129"/>
      <c r="K125" s="354"/>
      <c r="L125" s="337"/>
      <c r="M125" s="340"/>
      <c r="N125" s="358"/>
    </row>
    <row r="126" spans="1:14" ht="18" customHeight="1" thickBot="1">
      <c r="A126" s="327"/>
      <c r="B126" s="415"/>
      <c r="C126" s="418"/>
      <c r="D126" s="327"/>
      <c r="E126" s="422"/>
      <c r="F126" s="35" t="s">
        <v>129</v>
      </c>
      <c r="H126" s="19"/>
      <c r="I126" s="136"/>
      <c r="J126" s="129"/>
      <c r="K126" s="354"/>
      <c r="L126" s="338"/>
      <c r="M126" s="344"/>
      <c r="N126" s="358"/>
    </row>
    <row r="127" spans="1:14" ht="16" thickTop="1">
      <c r="A127" s="327"/>
      <c r="B127" s="415"/>
      <c r="C127" s="418"/>
      <c r="D127" s="327"/>
      <c r="E127" s="317" t="s">
        <v>93</v>
      </c>
      <c r="F127" s="40"/>
      <c r="G127" s="40"/>
      <c r="H127" s="54" t="str">
        <f>HYPERLINK("http://gocook.dk/gocookbook/bagt-squash-med-gulerod","Bagt squash med gulerod")</f>
        <v>Bagt squash med gulerod</v>
      </c>
      <c r="I127" s="370" t="s">
        <v>43</v>
      </c>
      <c r="J127" s="134"/>
      <c r="K127" s="355"/>
      <c r="L127" s="346"/>
      <c r="M127" s="341"/>
      <c r="N127" s="461"/>
    </row>
    <row r="128" spans="1:14" ht="15.5">
      <c r="A128" s="327"/>
      <c r="B128" s="415"/>
      <c r="C128" s="418"/>
      <c r="D128" s="327"/>
      <c r="E128" s="318"/>
      <c r="F128" s="19"/>
      <c r="H128" s="61" t="str">
        <f>HYPERLINK("http://gocook.dk/gocookbook/groentsags-kartoffelret","Grøntsags kartoffelret")</f>
        <v>Grøntsags kartoffelret</v>
      </c>
      <c r="I128" s="351"/>
      <c r="J128" s="129"/>
      <c r="K128" s="355"/>
      <c r="L128" s="346"/>
      <c r="M128" s="342"/>
      <c r="N128" s="358"/>
    </row>
    <row r="129" spans="1:14" ht="12.5">
      <c r="A129" s="327"/>
      <c r="B129" s="415"/>
      <c r="C129" s="418"/>
      <c r="D129" s="327"/>
      <c r="E129" s="318"/>
      <c r="F129" s="19"/>
      <c r="H129" s="19"/>
      <c r="I129" s="351"/>
      <c r="J129" s="129"/>
      <c r="K129" s="355"/>
      <c r="L129" s="346"/>
      <c r="M129" s="342"/>
      <c r="N129" s="358"/>
    </row>
    <row r="130" spans="1:14" s="269" customFormat="1" ht="12.5">
      <c r="A130" s="327"/>
      <c r="B130" s="415"/>
      <c r="C130" s="418"/>
      <c r="D130" s="327"/>
      <c r="E130" s="318"/>
      <c r="F130" s="19"/>
      <c r="H130" s="19"/>
      <c r="I130" s="351"/>
      <c r="J130" s="129"/>
      <c r="K130" s="355"/>
      <c r="L130" s="346"/>
      <c r="M130" s="342"/>
      <c r="N130" s="358"/>
    </row>
    <row r="131" spans="1:14" ht="12.5">
      <c r="A131" s="327"/>
      <c r="B131" s="415"/>
      <c r="C131" s="418"/>
      <c r="D131" s="327"/>
      <c r="E131" s="318"/>
      <c r="F131" s="19"/>
      <c r="H131" s="19"/>
      <c r="I131" s="351"/>
      <c r="J131" s="129"/>
      <c r="K131" s="355"/>
      <c r="L131" s="346"/>
      <c r="M131" s="342"/>
      <c r="N131" s="358"/>
    </row>
    <row r="132" spans="1:14" ht="13" thickBot="1">
      <c r="A132" s="327"/>
      <c r="B132" s="415"/>
      <c r="C132" s="419"/>
      <c r="D132" s="327"/>
      <c r="E132" s="319"/>
      <c r="F132" s="19"/>
      <c r="H132" s="19"/>
      <c r="I132" s="352"/>
      <c r="J132" s="129"/>
      <c r="K132" s="356"/>
      <c r="L132" s="347"/>
      <c r="M132" s="362"/>
      <c r="N132" s="377"/>
    </row>
    <row r="133" spans="1:14" ht="16" thickBot="1">
      <c r="A133" s="327"/>
      <c r="B133" s="416"/>
      <c r="C133" s="426"/>
      <c r="D133" s="327"/>
      <c r="E133" s="122"/>
      <c r="F133" s="31" t="s">
        <v>130</v>
      </c>
      <c r="G133" s="32"/>
      <c r="H133" s="42"/>
      <c r="I133" s="132"/>
      <c r="J133" s="132"/>
      <c r="K133" s="133"/>
      <c r="L133" s="133"/>
      <c r="M133" s="164"/>
      <c r="N133" s="175"/>
    </row>
    <row r="134" spans="1:14" ht="47.5" thickTop="1" thickBot="1">
      <c r="A134" s="327"/>
      <c r="B134" s="415"/>
      <c r="C134" s="418"/>
      <c r="D134" s="327"/>
      <c r="E134" s="127" t="s">
        <v>131</v>
      </c>
      <c r="F134" s="17" t="s">
        <v>132</v>
      </c>
      <c r="G134" s="64"/>
      <c r="H134" s="19"/>
      <c r="I134" s="135"/>
      <c r="J134" s="129"/>
      <c r="K134" s="143"/>
      <c r="L134" s="172"/>
      <c r="M134" s="166"/>
      <c r="N134" s="177"/>
    </row>
    <row r="135" spans="1:14" ht="16" thickTop="1">
      <c r="A135" s="327"/>
      <c r="B135" s="415"/>
      <c r="C135" s="418"/>
      <c r="D135" s="327"/>
      <c r="E135" s="126"/>
      <c r="F135" s="35" t="s">
        <v>133</v>
      </c>
      <c r="G135" s="64"/>
      <c r="H135" s="19"/>
      <c r="I135" s="135"/>
      <c r="J135" s="129"/>
      <c r="K135" s="144"/>
      <c r="L135" s="171"/>
      <c r="M135" s="167"/>
      <c r="N135" s="178"/>
    </row>
    <row r="136" spans="1:14" ht="15.5">
      <c r="A136" s="327"/>
      <c r="B136" s="415"/>
      <c r="C136" s="418"/>
      <c r="D136" s="327"/>
      <c r="E136" s="126"/>
      <c r="F136" s="35" t="s">
        <v>134</v>
      </c>
      <c r="G136" s="64"/>
      <c r="H136" s="19"/>
      <c r="I136" s="135"/>
      <c r="J136" s="129"/>
      <c r="K136" s="144"/>
      <c r="L136" s="171"/>
      <c r="M136" s="167"/>
      <c r="N136" s="178"/>
    </row>
    <row r="137" spans="1:14" ht="15.5">
      <c r="A137" s="327"/>
      <c r="B137" s="415"/>
      <c r="C137" s="418"/>
      <c r="D137" s="327"/>
      <c r="E137" s="126"/>
      <c r="F137" s="35" t="s">
        <v>135</v>
      </c>
      <c r="G137" s="64"/>
      <c r="H137" s="19"/>
      <c r="I137" s="135"/>
      <c r="J137" s="129"/>
      <c r="K137" s="144"/>
      <c r="L137" s="171"/>
      <c r="M137" s="167"/>
      <c r="N137" s="178"/>
    </row>
    <row r="138" spans="1:14" ht="15.5">
      <c r="A138" s="327"/>
      <c r="B138" s="415"/>
      <c r="C138" s="418"/>
      <c r="D138" s="327"/>
      <c r="E138" s="126"/>
      <c r="F138" s="35" t="s">
        <v>136</v>
      </c>
      <c r="G138" s="64"/>
      <c r="H138" s="19"/>
      <c r="I138" s="135"/>
      <c r="J138" s="129"/>
      <c r="K138" s="144"/>
      <c r="L138" s="171"/>
      <c r="M138" s="167"/>
      <c r="N138" s="178"/>
    </row>
    <row r="139" spans="1:14" ht="15.5">
      <c r="A139" s="327"/>
      <c r="B139" s="415"/>
      <c r="C139" s="418"/>
      <c r="D139" s="327"/>
      <c r="E139" s="126"/>
      <c r="F139" s="35" t="s">
        <v>137</v>
      </c>
      <c r="G139" s="64"/>
      <c r="H139" s="19"/>
      <c r="I139" s="135"/>
      <c r="J139" s="129"/>
      <c r="K139" s="144"/>
      <c r="L139" s="171"/>
      <c r="M139" s="167"/>
      <c r="N139" s="178"/>
    </row>
    <row r="140" spans="1:14" ht="15.5">
      <c r="A140" s="327"/>
      <c r="B140" s="415"/>
      <c r="C140" s="418"/>
      <c r="D140" s="327"/>
      <c r="E140" s="126"/>
      <c r="F140" s="35" t="s">
        <v>137</v>
      </c>
      <c r="G140" s="64"/>
      <c r="H140" s="19"/>
      <c r="I140" s="135"/>
      <c r="J140" s="129"/>
      <c r="K140" s="144"/>
      <c r="L140" s="171"/>
      <c r="M140" s="167"/>
      <c r="N140" s="178"/>
    </row>
    <row r="141" spans="1:14" ht="16" thickBot="1">
      <c r="A141" s="327"/>
      <c r="B141" s="415"/>
      <c r="C141" s="418"/>
      <c r="D141" s="327"/>
      <c r="E141" s="126"/>
      <c r="F141" s="35" t="s">
        <v>138</v>
      </c>
      <c r="G141" s="64"/>
      <c r="H141" s="19"/>
      <c r="I141" s="135"/>
      <c r="J141" s="129"/>
      <c r="K141" s="144"/>
      <c r="L141" s="171"/>
      <c r="M141" s="167"/>
      <c r="N141" s="178"/>
    </row>
    <row r="142" spans="1:14" ht="47" customHeight="1" thickTop="1">
      <c r="A142" s="327"/>
      <c r="B142" s="415"/>
      <c r="C142" s="418"/>
      <c r="D142" s="327"/>
      <c r="E142" s="320" t="s">
        <v>139</v>
      </c>
      <c r="F142" s="40"/>
      <c r="G142" s="65"/>
      <c r="H142" s="40"/>
      <c r="I142" s="370" t="s">
        <v>43</v>
      </c>
      <c r="J142" s="134"/>
      <c r="K142" s="144"/>
      <c r="L142" s="171"/>
      <c r="M142" s="167"/>
      <c r="N142" s="178"/>
    </row>
    <row r="143" spans="1:14" ht="12.5">
      <c r="A143" s="327"/>
      <c r="B143" s="415"/>
      <c r="C143" s="418"/>
      <c r="D143" s="327"/>
      <c r="E143" s="321"/>
      <c r="F143" s="19"/>
      <c r="G143" s="64"/>
      <c r="H143" s="19"/>
      <c r="I143" s="351"/>
      <c r="J143" s="129"/>
      <c r="K143" s="144"/>
      <c r="L143" s="171"/>
      <c r="M143" s="167"/>
      <c r="N143" s="178"/>
    </row>
    <row r="144" spans="1:14" ht="12.5">
      <c r="A144" s="327"/>
      <c r="B144" s="415"/>
      <c r="C144" s="418"/>
      <c r="D144" s="327"/>
      <c r="E144" s="321"/>
      <c r="F144" s="19"/>
      <c r="G144" s="64"/>
      <c r="H144" s="19"/>
      <c r="I144" s="351"/>
      <c r="J144" s="129"/>
      <c r="K144" s="144"/>
      <c r="L144" s="171"/>
      <c r="M144" s="167"/>
      <c r="N144" s="178"/>
    </row>
    <row r="145" spans="1:14" ht="12.5">
      <c r="A145" s="514"/>
      <c r="B145" s="415"/>
      <c r="C145" s="418"/>
      <c r="D145" s="327"/>
      <c r="E145" s="321"/>
      <c r="F145" s="19"/>
      <c r="G145" s="64"/>
      <c r="H145" s="19"/>
      <c r="I145" s="351"/>
      <c r="J145" s="129"/>
      <c r="K145" s="144"/>
      <c r="L145" s="171"/>
      <c r="M145" s="167"/>
      <c r="N145" s="178"/>
    </row>
    <row r="146" spans="1:14" ht="13" thickBot="1">
      <c r="A146" s="515"/>
      <c r="B146" s="423"/>
      <c r="C146" s="420"/>
      <c r="D146" s="327"/>
      <c r="E146" s="322"/>
      <c r="F146" s="19"/>
      <c r="G146" s="64"/>
      <c r="H146" s="19"/>
      <c r="I146" s="449"/>
      <c r="J146" s="129"/>
      <c r="K146" s="144"/>
      <c r="L146" s="171"/>
      <c r="M146" s="167"/>
      <c r="N146" s="178"/>
    </row>
    <row r="147" spans="1:14" ht="17.25" customHeight="1" thickTop="1" thickBot="1">
      <c r="A147" s="326" t="s">
        <v>140</v>
      </c>
      <c r="B147" s="414" t="s">
        <v>12</v>
      </c>
      <c r="C147" s="425" t="s">
        <v>559</v>
      </c>
      <c r="D147" s="326" t="s">
        <v>674</v>
      </c>
      <c r="E147" s="123"/>
      <c r="F147" s="56" t="s">
        <v>141</v>
      </c>
      <c r="G147" s="57"/>
      <c r="H147" s="58"/>
      <c r="I147" s="139"/>
      <c r="J147" s="139"/>
      <c r="K147" s="140"/>
      <c r="L147" s="140"/>
      <c r="M147" s="165"/>
      <c r="N147" s="176"/>
    </row>
    <row r="148" spans="1:14" ht="17.25" customHeight="1" thickTop="1" thickBot="1">
      <c r="A148" s="327"/>
      <c r="B148" s="415"/>
      <c r="C148" s="418"/>
      <c r="D148" s="327"/>
      <c r="E148" s="430" t="s">
        <v>78</v>
      </c>
      <c r="F148" s="94" t="s">
        <v>563</v>
      </c>
      <c r="H148" s="19"/>
      <c r="I148" s="350" t="s">
        <v>143</v>
      </c>
      <c r="J148" s="363" t="s">
        <v>142</v>
      </c>
      <c r="K148" s="353" t="s">
        <v>573</v>
      </c>
      <c r="L148" s="336" t="s">
        <v>591</v>
      </c>
      <c r="M148" s="339" t="s">
        <v>144</v>
      </c>
      <c r="N148" s="357">
        <v>1</v>
      </c>
    </row>
    <row r="149" spans="1:14" ht="16" thickTop="1">
      <c r="A149" s="327"/>
      <c r="B149" s="415"/>
      <c r="C149" s="418"/>
      <c r="D149" s="327"/>
      <c r="E149" s="415"/>
      <c r="F149" s="43" t="s">
        <v>145</v>
      </c>
      <c r="H149" s="19"/>
      <c r="I149" s="351"/>
      <c r="J149" s="364"/>
      <c r="K149" s="354"/>
      <c r="L149" s="337"/>
      <c r="M149" s="340"/>
      <c r="N149" s="358"/>
    </row>
    <row r="150" spans="1:14" ht="33" customHeight="1">
      <c r="A150" s="327"/>
      <c r="B150" s="415"/>
      <c r="C150" s="418"/>
      <c r="D150" s="327"/>
      <c r="E150" s="415"/>
      <c r="F150" s="43" t="s">
        <v>146</v>
      </c>
      <c r="H150" s="19"/>
      <c r="I150" s="350" t="s">
        <v>148</v>
      </c>
      <c r="J150" s="365" t="s">
        <v>147</v>
      </c>
      <c r="K150" s="354"/>
      <c r="L150" s="337"/>
      <c r="M150" s="344"/>
      <c r="N150" s="358"/>
    </row>
    <row r="151" spans="1:14" ht="15.5">
      <c r="A151" s="327"/>
      <c r="B151" s="415"/>
      <c r="C151" s="418"/>
      <c r="D151" s="327"/>
      <c r="E151" s="415"/>
      <c r="F151" s="43" t="s">
        <v>149</v>
      </c>
      <c r="H151" s="19"/>
      <c r="I151" s="351"/>
      <c r="J151" s="364"/>
      <c r="K151" s="354"/>
      <c r="L151" s="337"/>
      <c r="M151" s="361" t="s">
        <v>150</v>
      </c>
      <c r="N151" s="358"/>
    </row>
    <row r="152" spans="1:14" ht="15.5">
      <c r="A152" s="327"/>
      <c r="B152" s="415"/>
      <c r="C152" s="418"/>
      <c r="D152" s="327"/>
      <c r="E152" s="415"/>
      <c r="F152" s="43" t="s">
        <v>151</v>
      </c>
      <c r="H152" s="19"/>
      <c r="I152" s="351"/>
      <c r="J152" s="364"/>
      <c r="K152" s="354"/>
      <c r="L152" s="337"/>
      <c r="M152" s="340"/>
      <c r="N152" s="358"/>
    </row>
    <row r="153" spans="1:14" ht="24" customHeight="1" thickBot="1">
      <c r="A153" s="327"/>
      <c r="B153" s="415"/>
      <c r="C153" s="418"/>
      <c r="D153" s="327"/>
      <c r="E153" s="415"/>
      <c r="F153" s="43" t="s">
        <v>152</v>
      </c>
      <c r="H153" s="19"/>
      <c r="I153" s="351"/>
      <c r="J153" s="366"/>
      <c r="K153" s="354"/>
      <c r="L153" s="338"/>
      <c r="M153" s="344"/>
      <c r="N153" s="359"/>
    </row>
    <row r="154" spans="1:14" ht="15.5">
      <c r="A154" s="327"/>
      <c r="B154" s="415"/>
      <c r="C154" s="418"/>
      <c r="D154" s="327"/>
      <c r="E154" s="415"/>
      <c r="F154" s="43" t="s">
        <v>153</v>
      </c>
      <c r="G154" s="50" t="str">
        <f>HYPERLINK("http://gocook.dk/gocook-tv/mickis-groentsagssamosaer","Mickis grøntsagssamosaer")</f>
        <v>Mickis grøntsagssamosaer</v>
      </c>
      <c r="H154" s="19"/>
      <c r="I154" s="351"/>
      <c r="J154" s="129"/>
      <c r="K154" s="355"/>
      <c r="L154" s="312"/>
      <c r="M154" s="341"/>
      <c r="N154" s="371"/>
    </row>
    <row r="155" spans="1:14" ht="16" thickBot="1">
      <c r="A155" s="327"/>
      <c r="B155" s="415"/>
      <c r="C155" s="418"/>
      <c r="D155" s="327"/>
      <c r="E155" s="415"/>
      <c r="F155" s="43" t="s">
        <v>154</v>
      </c>
      <c r="H155" s="19"/>
      <c r="I155" s="352"/>
      <c r="J155" s="129"/>
      <c r="K155" s="459"/>
      <c r="L155" s="312"/>
      <c r="M155" s="342"/>
      <c r="N155" s="372"/>
    </row>
    <row r="156" spans="1:14" ht="13.5" customHeight="1" thickTop="1">
      <c r="A156" s="327"/>
      <c r="B156" s="415"/>
      <c r="C156" s="418"/>
      <c r="D156" s="327"/>
      <c r="E156" s="415"/>
      <c r="F156" s="19"/>
      <c r="H156" s="19"/>
      <c r="I156" s="136"/>
      <c r="J156" s="129"/>
      <c r="K156" s="463" t="s">
        <v>574</v>
      </c>
      <c r="L156" s="336" t="s">
        <v>593</v>
      </c>
      <c r="M156" s="343" t="s">
        <v>155</v>
      </c>
      <c r="N156" s="373">
        <v>1</v>
      </c>
    </row>
    <row r="157" spans="1:14" ht="13" thickBot="1">
      <c r="A157" s="327"/>
      <c r="B157" s="415"/>
      <c r="C157" s="418"/>
      <c r="D157" s="327"/>
      <c r="E157" s="415"/>
      <c r="F157" s="19"/>
      <c r="H157" s="19"/>
      <c r="I157" s="136"/>
      <c r="J157" s="129"/>
      <c r="K157" s="354"/>
      <c r="L157" s="337"/>
      <c r="M157" s="340"/>
      <c r="N157" s="372"/>
    </row>
    <row r="158" spans="1:14" ht="24.75" customHeight="1" thickTop="1">
      <c r="A158" s="327"/>
      <c r="B158" s="415"/>
      <c r="C158" s="418"/>
      <c r="D158" s="327"/>
      <c r="E158" s="414" t="s">
        <v>104</v>
      </c>
      <c r="F158" s="40"/>
      <c r="G158" s="26"/>
      <c r="H158" s="54" t="str">
        <f>HYPERLINK("http://gocook.dk/gocookbook/wok-med-groentsager","Wok med grøntsager")</f>
        <v>Wok med grøntsager</v>
      </c>
      <c r="I158" s="370" t="s">
        <v>43</v>
      </c>
      <c r="J158" s="134"/>
      <c r="K158" s="354"/>
      <c r="L158" s="337"/>
      <c r="M158" s="340"/>
      <c r="N158" s="372"/>
    </row>
    <row r="159" spans="1:14" ht="15.5">
      <c r="A159" s="327"/>
      <c r="B159" s="415"/>
      <c r="C159" s="418"/>
      <c r="D159" s="327"/>
      <c r="E159" s="415"/>
      <c r="F159" s="19"/>
      <c r="H159" s="61" t="str">
        <f>HYPERLINK("http://gocook.dk/gocookbook/groentsags-spaghetti","Grøntsags-spaghetti")</f>
        <v>Grøntsags-spaghetti</v>
      </c>
      <c r="I159" s="351"/>
      <c r="J159" s="129"/>
      <c r="K159" s="354"/>
      <c r="L159" s="337"/>
      <c r="M159" s="348" t="s">
        <v>156</v>
      </c>
      <c r="N159" s="372"/>
    </row>
    <row r="160" spans="1:14" ht="15.5">
      <c r="A160" s="327"/>
      <c r="B160" s="415"/>
      <c r="C160" s="418"/>
      <c r="D160" s="327"/>
      <c r="E160" s="415"/>
      <c r="F160" s="19"/>
      <c r="H160" s="61" t="str">
        <f>HYPERLINK("http://gocook.dk/gocookbook/grontsagslasagne","Grøntsagslasagne")</f>
        <v>Grøntsagslasagne</v>
      </c>
      <c r="I160" s="351"/>
      <c r="J160" s="129"/>
      <c r="K160" s="354"/>
      <c r="L160" s="337"/>
      <c r="M160" s="340"/>
      <c r="N160" s="372"/>
    </row>
    <row r="161" spans="1:14" ht="12.5">
      <c r="A161" s="327"/>
      <c r="B161" s="415"/>
      <c r="C161" s="418"/>
      <c r="D161" s="327"/>
      <c r="E161" s="415"/>
      <c r="F161" s="19"/>
      <c r="H161" s="19"/>
      <c r="I161" s="351"/>
      <c r="J161" s="129"/>
      <c r="K161" s="354"/>
      <c r="L161" s="337"/>
      <c r="M161" s="340"/>
      <c r="N161" s="372"/>
    </row>
    <row r="162" spans="1:14" ht="13" thickBot="1">
      <c r="A162" s="327"/>
      <c r="B162" s="415"/>
      <c r="C162" s="419"/>
      <c r="D162" s="327"/>
      <c r="E162" s="415"/>
      <c r="F162" s="19"/>
      <c r="H162" s="19"/>
      <c r="I162" s="352"/>
      <c r="J162" s="129"/>
      <c r="K162" s="380"/>
      <c r="L162" s="338"/>
      <c r="M162" s="375"/>
      <c r="N162" s="374"/>
    </row>
    <row r="163" spans="1:14" ht="16" thickBot="1">
      <c r="A163" s="327"/>
      <c r="B163" s="416" t="s">
        <v>12</v>
      </c>
      <c r="C163" s="417" t="s">
        <v>560</v>
      </c>
      <c r="D163" s="327"/>
      <c r="E163" s="122"/>
      <c r="F163" s="31" t="s">
        <v>157</v>
      </c>
      <c r="G163" s="32"/>
      <c r="H163" s="42"/>
      <c r="I163" s="132"/>
      <c r="J163" s="132"/>
      <c r="K163" s="133"/>
      <c r="L163" s="181"/>
      <c r="M163" s="164"/>
      <c r="N163" s="175"/>
    </row>
    <row r="164" spans="1:14" ht="17.25" customHeight="1" thickTop="1" thickBot="1">
      <c r="A164" s="327"/>
      <c r="B164" s="415"/>
      <c r="C164" s="418"/>
      <c r="D164" s="327"/>
      <c r="E164" s="421" t="s">
        <v>15</v>
      </c>
      <c r="F164" s="17" t="s">
        <v>158</v>
      </c>
      <c r="G164" s="50" t="str">
        <f>HYPERLINK("http://gocook.dk/gocook-tv/jordskokkechips-0","Jordskokkechips")</f>
        <v>Jordskokkechips</v>
      </c>
      <c r="H164" s="19"/>
      <c r="I164" s="350" t="s">
        <v>160</v>
      </c>
      <c r="J164" s="363" t="s">
        <v>159</v>
      </c>
      <c r="K164" s="353" t="s">
        <v>572</v>
      </c>
      <c r="L164" s="336" t="s">
        <v>591</v>
      </c>
      <c r="M164" s="339" t="s">
        <v>144</v>
      </c>
      <c r="N164" s="357">
        <v>1</v>
      </c>
    </row>
    <row r="165" spans="1:14" ht="16" thickTop="1">
      <c r="A165" s="327"/>
      <c r="B165" s="415"/>
      <c r="C165" s="418"/>
      <c r="D165" s="327"/>
      <c r="E165" s="422"/>
      <c r="F165" s="66" t="s">
        <v>161</v>
      </c>
      <c r="G165" s="50" t="str">
        <f>HYPERLINK("http://gocook.dk/gocook-tv/micki-laver-roedbedechips","Micki laver rødbedechips")</f>
        <v>Micki laver rødbedechips</v>
      </c>
      <c r="H165" s="19"/>
      <c r="I165" s="351"/>
      <c r="J165" s="364"/>
      <c r="K165" s="354"/>
      <c r="L165" s="337"/>
      <c r="M165" s="340"/>
      <c r="N165" s="358"/>
    </row>
    <row r="166" spans="1:14" ht="32.25" customHeight="1">
      <c r="A166" s="327"/>
      <c r="B166" s="415"/>
      <c r="C166" s="418"/>
      <c r="D166" s="327"/>
      <c r="E166" s="422"/>
      <c r="F166" s="43" t="s">
        <v>162</v>
      </c>
      <c r="H166" s="19"/>
      <c r="I166" s="351"/>
      <c r="J166" s="366"/>
      <c r="K166" s="354"/>
      <c r="L166" s="337"/>
      <c r="M166" s="344"/>
      <c r="N166" s="358"/>
    </row>
    <row r="167" spans="1:14" ht="15.5">
      <c r="A167" s="327"/>
      <c r="B167" s="415"/>
      <c r="C167" s="418"/>
      <c r="D167" s="327"/>
      <c r="E167" s="422"/>
      <c r="F167" s="43" t="s">
        <v>163</v>
      </c>
      <c r="G167" s="50" t="str">
        <f>HYPERLINK("http://gocook.dk/gocook-tv/gorm-laver-roeddernes-suppe","Gorm laver røddernes suppe")</f>
        <v>Gorm laver røddernes suppe</v>
      </c>
      <c r="H167" s="19"/>
      <c r="I167" s="352"/>
      <c r="J167" s="129"/>
      <c r="K167" s="354"/>
      <c r="L167" s="337"/>
      <c r="M167" s="361" t="s">
        <v>150</v>
      </c>
      <c r="N167" s="358"/>
    </row>
    <row r="168" spans="1:14" ht="16" thickBot="1">
      <c r="A168" s="327"/>
      <c r="B168" s="415"/>
      <c r="C168" s="418"/>
      <c r="D168" s="327"/>
      <c r="E168" s="422"/>
      <c r="F168" s="67" t="s">
        <v>164</v>
      </c>
      <c r="H168" s="19"/>
      <c r="I168" s="136"/>
      <c r="J168" s="129"/>
      <c r="K168" s="354"/>
      <c r="L168" s="337"/>
      <c r="M168" s="340"/>
      <c r="N168" s="358"/>
    </row>
    <row r="169" spans="1:14" ht="16.5" thickTop="1" thickBot="1">
      <c r="A169" s="327"/>
      <c r="B169" s="415"/>
      <c r="C169" s="418"/>
      <c r="D169" s="327"/>
      <c r="E169" s="422"/>
      <c r="F169" s="68" t="s">
        <v>165</v>
      </c>
      <c r="H169" s="19"/>
      <c r="I169" s="136"/>
      <c r="J169" s="129"/>
      <c r="K169" s="354"/>
      <c r="L169" s="337"/>
      <c r="M169" s="340"/>
      <c r="N169" s="358"/>
    </row>
    <row r="170" spans="1:14" ht="16.5" thickTop="1" thickBot="1">
      <c r="A170" s="327"/>
      <c r="B170" s="415"/>
      <c r="C170" s="418"/>
      <c r="D170" s="327"/>
      <c r="E170" s="422"/>
      <c r="F170" s="69" t="s">
        <v>166</v>
      </c>
      <c r="G170" s="50" t="str">
        <f>HYPERLINK("http://gocook.dk/gocook-tv/film-04-jan-fortaeller-om-guleroedder","Jan fortæller om gulerødder")</f>
        <v>Jan fortæller om gulerødder</v>
      </c>
      <c r="H170" s="19"/>
      <c r="I170" s="136"/>
      <c r="J170" s="129"/>
      <c r="K170" s="378"/>
      <c r="L170" s="338"/>
      <c r="M170" s="344"/>
      <c r="N170" s="359"/>
    </row>
    <row r="171" spans="1:14" ht="31.5" customHeight="1" thickTop="1" thickBot="1">
      <c r="A171" s="327"/>
      <c r="B171" s="415"/>
      <c r="C171" s="418"/>
      <c r="D171" s="327"/>
      <c r="E171" s="422"/>
      <c r="F171" s="70" t="s">
        <v>167</v>
      </c>
      <c r="H171" s="19"/>
      <c r="I171" s="136"/>
      <c r="J171" s="129"/>
      <c r="K171" s="379" t="s">
        <v>575</v>
      </c>
      <c r="L171" s="336" t="s">
        <v>593</v>
      </c>
      <c r="M171" s="343" t="s">
        <v>155</v>
      </c>
      <c r="N171" s="376">
        <v>1</v>
      </c>
    </row>
    <row r="172" spans="1:14" ht="16" thickTop="1">
      <c r="A172" s="327"/>
      <c r="B172" s="415"/>
      <c r="C172" s="418"/>
      <c r="D172" s="327"/>
      <c r="E172" s="428" t="s">
        <v>104</v>
      </c>
      <c r="F172" s="7"/>
      <c r="G172" s="26"/>
      <c r="H172" s="54" t="str">
        <f>HYPERLINK("http://gocook.dk/gocookbook/roedbedechips","Rødbedechips")</f>
        <v>Rødbedechips</v>
      </c>
      <c r="I172" s="370" t="s">
        <v>43</v>
      </c>
      <c r="J172" s="134"/>
      <c r="K172" s="354"/>
      <c r="L172" s="337"/>
      <c r="M172" s="340"/>
      <c r="N172" s="358"/>
    </row>
    <row r="173" spans="1:14" ht="15.5">
      <c r="A173" s="327"/>
      <c r="B173" s="415"/>
      <c r="C173" s="418"/>
      <c r="D173" s="327"/>
      <c r="E173" s="422"/>
      <c r="F173" s="19"/>
      <c r="H173" s="61" t="str">
        <f>HYPERLINK("http://gocook.dk/gocookbook/roeddernes-suppe","Røddernes suppe")</f>
        <v>Røddernes suppe</v>
      </c>
      <c r="I173" s="351"/>
      <c r="J173" s="129"/>
      <c r="K173" s="354"/>
      <c r="L173" s="337"/>
      <c r="M173" s="340"/>
      <c r="N173" s="358"/>
    </row>
    <row r="174" spans="1:14" ht="15.5">
      <c r="A174" s="327"/>
      <c r="B174" s="415"/>
      <c r="C174" s="418"/>
      <c r="D174" s="327"/>
      <c r="E174" s="422"/>
      <c r="F174" s="19"/>
      <c r="H174" s="61" t="str">
        <f>HYPERLINK("http://gocook.dk/gocookbook/roedbedesalat-med-jordskokker","Rødbedesalat med jordskokker")</f>
        <v>Rødbedesalat med jordskokker</v>
      </c>
      <c r="I174" s="351"/>
      <c r="J174" s="129"/>
      <c r="K174" s="354"/>
      <c r="L174" s="337"/>
      <c r="M174" s="340"/>
      <c r="N174" s="358"/>
    </row>
    <row r="175" spans="1:14" ht="34.5" customHeight="1" thickBot="1">
      <c r="A175" s="327"/>
      <c r="B175" s="415"/>
      <c r="C175" s="419"/>
      <c r="D175" s="327"/>
      <c r="E175" s="422"/>
      <c r="F175" s="19"/>
      <c r="H175" s="61" t="str">
        <f>HYPERLINK("http://gocook.dk/gocookbook/ovnbagte-groentsager","Ovnbagte grøntsager")</f>
        <v>Ovnbagte grøntsager</v>
      </c>
      <c r="I175" s="352"/>
      <c r="J175" s="129"/>
      <c r="K175" s="380"/>
      <c r="L175" s="338"/>
      <c r="M175" s="375"/>
      <c r="N175" s="377"/>
    </row>
    <row r="176" spans="1:14" ht="16" thickBot="1">
      <c r="A176" s="327"/>
      <c r="B176" s="416" t="s">
        <v>12</v>
      </c>
      <c r="C176" s="417" t="s">
        <v>560</v>
      </c>
      <c r="D176" s="327"/>
      <c r="E176" s="122"/>
      <c r="F176" s="31" t="s">
        <v>168</v>
      </c>
      <c r="G176" s="32"/>
      <c r="H176" s="42"/>
      <c r="I176" s="132"/>
      <c r="J176" s="132"/>
      <c r="K176" s="133"/>
      <c r="L176" s="133"/>
      <c r="M176" s="164"/>
      <c r="N176" s="175"/>
    </row>
    <row r="177" spans="1:14" ht="17.25" customHeight="1" thickTop="1" thickBot="1">
      <c r="A177" s="327"/>
      <c r="B177" s="415"/>
      <c r="C177" s="418"/>
      <c r="D177" s="327"/>
      <c r="E177" s="434" t="s">
        <v>15</v>
      </c>
      <c r="F177" s="94" t="s">
        <v>563</v>
      </c>
      <c r="G177" s="18"/>
      <c r="I177" s="129"/>
      <c r="J177" s="384" t="s">
        <v>169</v>
      </c>
      <c r="K177" s="353" t="s">
        <v>572</v>
      </c>
      <c r="L177" s="336" t="s">
        <v>591</v>
      </c>
      <c r="M177" s="339" t="s">
        <v>144</v>
      </c>
      <c r="N177" s="357">
        <v>1</v>
      </c>
    </row>
    <row r="178" spans="1:14" ht="16" thickTop="1">
      <c r="A178" s="327"/>
      <c r="B178" s="415"/>
      <c r="C178" s="418"/>
      <c r="D178" s="327"/>
      <c r="E178" s="433"/>
      <c r="F178" s="66" t="s">
        <v>170</v>
      </c>
      <c r="G178" s="19"/>
      <c r="I178" s="129"/>
      <c r="J178" s="385"/>
      <c r="K178" s="354"/>
      <c r="L178" s="337"/>
      <c r="M178" s="340"/>
      <c r="N178" s="358"/>
    </row>
    <row r="179" spans="1:14" ht="30.75" customHeight="1">
      <c r="A179" s="327"/>
      <c r="B179" s="415"/>
      <c r="C179" s="418"/>
      <c r="D179" s="327"/>
      <c r="E179" s="433"/>
      <c r="F179" s="35" t="s">
        <v>171</v>
      </c>
      <c r="G179" s="18"/>
      <c r="I179" s="129"/>
      <c r="J179" s="385"/>
      <c r="K179" s="354"/>
      <c r="L179" s="337"/>
      <c r="M179" s="344"/>
      <c r="N179" s="358"/>
    </row>
    <row r="180" spans="1:14" ht="15.5">
      <c r="A180" s="327"/>
      <c r="B180" s="415"/>
      <c r="C180" s="418"/>
      <c r="D180" s="327"/>
      <c r="E180" s="433"/>
      <c r="F180" s="22" t="s">
        <v>172</v>
      </c>
      <c r="G180" s="19"/>
      <c r="I180" s="129"/>
      <c r="J180" s="386"/>
      <c r="K180" s="354"/>
      <c r="L180" s="337"/>
      <c r="M180" s="361" t="s">
        <v>150</v>
      </c>
      <c r="N180" s="358"/>
    </row>
    <row r="181" spans="1:14" ht="15.5">
      <c r="A181" s="327"/>
      <c r="B181" s="415"/>
      <c r="C181" s="418"/>
      <c r="D181" s="327"/>
      <c r="E181" s="433"/>
      <c r="F181" s="22" t="s">
        <v>173</v>
      </c>
      <c r="G181" s="19"/>
      <c r="I181" s="129"/>
      <c r="J181" s="384" t="s">
        <v>174</v>
      </c>
      <c r="K181" s="354"/>
      <c r="L181" s="337"/>
      <c r="M181" s="340"/>
      <c r="N181" s="358"/>
    </row>
    <row r="182" spans="1:14" ht="24" customHeight="1" thickBot="1">
      <c r="A182" s="327"/>
      <c r="B182" s="415"/>
      <c r="C182" s="418"/>
      <c r="D182" s="327"/>
      <c r="E182" s="433"/>
      <c r="F182" s="22" t="s">
        <v>175</v>
      </c>
      <c r="G182" s="61" t="str">
        <f>HYPERLINK("http://gocook.dk/kokkeskolen/kartofler-koge","Kartofler, koge")</f>
        <v>Kartofler, koge</v>
      </c>
      <c r="I182" s="129"/>
      <c r="J182" s="386"/>
      <c r="K182" s="354"/>
      <c r="L182" s="338"/>
      <c r="M182" s="344"/>
      <c r="N182" s="359"/>
    </row>
    <row r="183" spans="1:14" ht="16" thickBot="1">
      <c r="A183" s="327"/>
      <c r="B183" s="415"/>
      <c r="C183" s="418"/>
      <c r="D183" s="327"/>
      <c r="E183" s="433"/>
      <c r="F183" s="22" t="s">
        <v>176</v>
      </c>
      <c r="G183" s="61" t="str">
        <f>HYPERLINK("http://gocook.dk/kokkeskolen/mose","Mose")</f>
        <v>Mose</v>
      </c>
      <c r="I183" s="129"/>
      <c r="J183" s="131"/>
      <c r="K183" s="355"/>
      <c r="L183" s="312"/>
      <c r="M183" s="341"/>
      <c r="N183" s="360"/>
    </row>
    <row r="184" spans="1:14" ht="16.5" thickTop="1" thickBot="1">
      <c r="A184" s="327"/>
      <c r="B184" s="415"/>
      <c r="C184" s="418"/>
      <c r="D184" s="327"/>
      <c r="E184" s="433"/>
      <c r="F184" s="17" t="s">
        <v>177</v>
      </c>
      <c r="G184" s="19"/>
      <c r="I184" s="129"/>
      <c r="J184" s="131"/>
      <c r="K184" s="355"/>
      <c r="L184" s="312"/>
      <c r="M184" s="342"/>
      <c r="N184" s="358"/>
    </row>
    <row r="185" spans="1:14" ht="16" thickTop="1">
      <c r="A185" s="327"/>
      <c r="B185" s="415"/>
      <c r="C185" s="418"/>
      <c r="D185" s="327"/>
      <c r="E185" s="433"/>
      <c r="F185" s="66" t="s">
        <v>178</v>
      </c>
      <c r="G185" s="19"/>
      <c r="I185" s="129"/>
      <c r="J185" s="131"/>
      <c r="K185" s="355"/>
      <c r="L185" s="312"/>
      <c r="M185" s="342"/>
      <c r="N185" s="358"/>
    </row>
    <row r="186" spans="1:14" ht="16" thickBot="1">
      <c r="A186" s="327"/>
      <c r="B186" s="415"/>
      <c r="C186" s="418"/>
      <c r="D186" s="327"/>
      <c r="E186" s="433"/>
      <c r="F186" s="43" t="s">
        <v>179</v>
      </c>
      <c r="G186" s="18"/>
      <c r="I186" s="129"/>
      <c r="J186" s="131"/>
      <c r="K186" s="459"/>
      <c r="L186" s="312"/>
      <c r="M186" s="342"/>
      <c r="N186" s="358"/>
    </row>
    <row r="187" spans="1:14" ht="15.75" customHeight="1" thickTop="1">
      <c r="A187" s="327"/>
      <c r="B187" s="415"/>
      <c r="C187" s="418"/>
      <c r="D187" s="327"/>
      <c r="E187" s="433"/>
      <c r="F187" s="35" t="s">
        <v>180</v>
      </c>
      <c r="G187" s="18"/>
      <c r="I187" s="129"/>
      <c r="J187" s="131"/>
      <c r="K187" s="379" t="s">
        <v>575</v>
      </c>
      <c r="L187" s="336" t="s">
        <v>594</v>
      </c>
      <c r="M187" s="343" t="s">
        <v>181</v>
      </c>
      <c r="N187" s="376">
        <v>1</v>
      </c>
    </row>
    <row r="188" spans="1:14" ht="26.25" customHeight="1">
      <c r="A188" s="327"/>
      <c r="B188" s="415"/>
      <c r="C188" s="418"/>
      <c r="D188" s="327"/>
      <c r="E188" s="433"/>
      <c r="F188" s="35" t="s">
        <v>182</v>
      </c>
      <c r="G188" s="18"/>
      <c r="I188" s="129"/>
      <c r="J188" s="131"/>
      <c r="K188" s="354"/>
      <c r="L188" s="337"/>
      <c r="M188" s="340"/>
      <c r="N188" s="358"/>
    </row>
    <row r="189" spans="1:14" ht="15.5">
      <c r="A189" s="327"/>
      <c r="B189" s="415"/>
      <c r="C189" s="418"/>
      <c r="D189" s="327"/>
      <c r="E189" s="433"/>
      <c r="F189" s="43" t="s">
        <v>183</v>
      </c>
      <c r="G189" s="18"/>
      <c r="I189" s="129"/>
      <c r="J189" s="131"/>
      <c r="K189" s="354"/>
      <c r="L189" s="337"/>
      <c r="M189" s="348" t="s">
        <v>184</v>
      </c>
      <c r="N189" s="358"/>
    </row>
    <row r="190" spans="1:14" ht="16" thickBot="1">
      <c r="A190" s="327"/>
      <c r="B190" s="415"/>
      <c r="C190" s="418"/>
      <c r="D190" s="327"/>
      <c r="E190" s="433"/>
      <c r="F190" s="67" t="s">
        <v>185</v>
      </c>
      <c r="G190" s="71" t="str">
        <f>HYPERLINK("http://gocook.dk/gocook-tv/gorm-laver-kartoffelaeggekage","Gorm laver kartoffelæggekage")</f>
        <v>Gorm laver kartoffelæggekage</v>
      </c>
      <c r="I190" s="129"/>
      <c r="J190" s="131"/>
      <c r="K190" s="354"/>
      <c r="L190" s="337"/>
      <c r="M190" s="340"/>
      <c r="N190" s="358"/>
    </row>
    <row r="191" spans="1:14" ht="16" thickTop="1">
      <c r="A191" s="327"/>
      <c r="B191" s="415"/>
      <c r="C191" s="418"/>
      <c r="D191" s="327"/>
      <c r="E191" s="432" t="s">
        <v>104</v>
      </c>
      <c r="F191" s="26"/>
      <c r="G191" s="40"/>
      <c r="H191" s="72" t="str">
        <f>HYPERLINK("http://gocook.dk/gocookbook/kartoffelpizza","Kartoffelpizza")</f>
        <v>Kartoffelpizza</v>
      </c>
      <c r="I191" s="390" t="s">
        <v>43</v>
      </c>
      <c r="J191" s="130"/>
      <c r="K191" s="354"/>
      <c r="L191" s="337"/>
      <c r="M191" s="340"/>
      <c r="N191" s="358"/>
    </row>
    <row r="192" spans="1:14" ht="49.5" customHeight="1" thickBot="1">
      <c r="A192" s="327"/>
      <c r="B192" s="415"/>
      <c r="C192" s="418"/>
      <c r="D192" s="327"/>
      <c r="E192" s="433"/>
      <c r="G192" s="19"/>
      <c r="H192" s="50" t="str">
        <f>HYPERLINK("http://gocook.dk/gocookbook/kartoffelsalat","Kartoffelsalat")</f>
        <v>Kartoffelsalat</v>
      </c>
      <c r="I192" s="391"/>
      <c r="J192" s="131"/>
      <c r="K192" s="354"/>
      <c r="L192" s="338"/>
      <c r="M192" s="344"/>
      <c r="N192" s="359"/>
    </row>
    <row r="193" spans="1:14" ht="31">
      <c r="A193" s="327"/>
      <c r="B193" s="415"/>
      <c r="C193" s="418"/>
      <c r="D193" s="327"/>
      <c r="E193" s="433"/>
      <c r="G193" s="19"/>
      <c r="H193" s="73" t="str">
        <f>HYPERLINK("http://gocook.dk/gocookbook/kartoffelaeggekage-spansk-tortillas","Kartoffelæggekage spansk-tortillas")</f>
        <v>Kartoffelæggekage spansk-tortillas</v>
      </c>
      <c r="I193" s="391"/>
      <c r="J193" s="131"/>
      <c r="K193" s="355"/>
      <c r="L193" s="312"/>
      <c r="M193" s="341"/>
      <c r="N193" s="360"/>
    </row>
    <row r="194" spans="1:14" ht="13" thickBot="1">
      <c r="A194" s="327"/>
      <c r="B194" s="415"/>
      <c r="C194" s="419"/>
      <c r="D194" s="327"/>
      <c r="E194" s="433"/>
      <c r="G194" s="19"/>
      <c r="I194" s="392"/>
      <c r="J194" s="131"/>
      <c r="K194" s="356"/>
      <c r="L194" s="313"/>
      <c r="M194" s="362"/>
      <c r="N194" s="377"/>
    </row>
    <row r="195" spans="1:14" ht="16" customHeight="1" thickBot="1">
      <c r="A195" s="327"/>
      <c r="B195" s="553" t="s">
        <v>12</v>
      </c>
      <c r="C195" s="332" t="s">
        <v>560</v>
      </c>
      <c r="D195" s="327"/>
      <c r="E195" s="122"/>
      <c r="F195" s="31" t="s">
        <v>186</v>
      </c>
      <c r="G195" s="32"/>
      <c r="H195" s="42"/>
      <c r="I195" s="132"/>
      <c r="J195" s="132"/>
      <c r="K195" s="133"/>
      <c r="L195" s="133"/>
      <c r="M195" s="164"/>
      <c r="N195" s="175"/>
    </row>
    <row r="196" spans="1:14" ht="17.25" customHeight="1" thickTop="1" thickBot="1">
      <c r="A196" s="327"/>
      <c r="B196" s="318"/>
      <c r="C196" s="329"/>
      <c r="D196" s="327"/>
      <c r="E196" s="421" t="s">
        <v>78</v>
      </c>
      <c r="F196" s="17" t="s">
        <v>187</v>
      </c>
      <c r="H196" s="19"/>
      <c r="I196" s="350" t="s">
        <v>189</v>
      </c>
      <c r="J196" s="129" t="s">
        <v>188</v>
      </c>
      <c r="K196" s="353" t="s">
        <v>573</v>
      </c>
      <c r="L196" s="336" t="s">
        <v>591</v>
      </c>
      <c r="M196" s="339" t="s">
        <v>144</v>
      </c>
      <c r="N196" s="357">
        <v>1</v>
      </c>
    </row>
    <row r="197" spans="1:14" ht="16" thickTop="1">
      <c r="A197" s="327"/>
      <c r="B197" s="318"/>
      <c r="C197" s="329"/>
      <c r="D197" s="327"/>
      <c r="E197" s="422"/>
      <c r="F197" s="43" t="s">
        <v>190</v>
      </c>
      <c r="G197" s="50" t="str">
        <f>HYPERLINK("http://gocook.dk/kokkeskolen/glaskaal-ordne-og-skaere","Glaskål, ordne og skære")</f>
        <v>Glaskål, ordne og skære</v>
      </c>
      <c r="H197" s="19"/>
      <c r="I197" s="351"/>
      <c r="J197" s="365" t="s">
        <v>191</v>
      </c>
      <c r="K197" s="354"/>
      <c r="L197" s="337"/>
      <c r="M197" s="340"/>
      <c r="N197" s="358"/>
    </row>
    <row r="198" spans="1:14" ht="33.75" customHeight="1">
      <c r="A198" s="327"/>
      <c r="B198" s="318"/>
      <c r="C198" s="329"/>
      <c r="D198" s="327"/>
      <c r="E198" s="422"/>
      <c r="F198" s="43" t="s">
        <v>192</v>
      </c>
      <c r="G198" s="50" t="str">
        <f>HYPERLINK("http://gocook.dk/kokkeskolen/spidskaal-i-strimler","Spidskål i strimler")</f>
        <v>Spidskål i strimler</v>
      </c>
      <c r="H198" s="19"/>
      <c r="I198" s="351"/>
      <c r="J198" s="364"/>
      <c r="K198" s="354"/>
      <c r="L198" s="337"/>
      <c r="M198" s="344"/>
      <c r="N198" s="358"/>
    </row>
    <row r="199" spans="1:14" ht="15.5">
      <c r="A199" s="327"/>
      <c r="B199" s="318"/>
      <c r="C199" s="329"/>
      <c r="D199" s="327"/>
      <c r="E199" s="422"/>
      <c r="F199" s="43" t="s">
        <v>193</v>
      </c>
      <c r="G199" s="50" t="str">
        <f>HYPERLINK("http://gocook.dk/kokkeskolen/hvidkaal-skaere-i-strimler","Hvidkål, skære i strimler")</f>
        <v>Hvidkål, skære i strimler</v>
      </c>
      <c r="H199" s="19"/>
      <c r="I199" s="351"/>
      <c r="J199" s="364"/>
      <c r="K199" s="354"/>
      <c r="L199" s="337"/>
      <c r="M199" s="361" t="s">
        <v>150</v>
      </c>
      <c r="N199" s="358"/>
    </row>
    <row r="200" spans="1:14" ht="15.5">
      <c r="A200" s="327"/>
      <c r="B200" s="318"/>
      <c r="C200" s="329"/>
      <c r="D200" s="327"/>
      <c r="E200" s="422"/>
      <c r="F200" s="35" t="s">
        <v>194</v>
      </c>
      <c r="G200" s="50" t="str">
        <f>HYPERLINK("http://gocook.dk/kokkeskolen/groenkaal-ordne","Grønkål, ordne")</f>
        <v>Grønkål, ordne</v>
      </c>
      <c r="H200" s="19"/>
      <c r="I200" s="352"/>
      <c r="J200" s="366"/>
      <c r="K200" s="354"/>
      <c r="L200" s="337"/>
      <c r="M200" s="340"/>
      <c r="N200" s="358"/>
    </row>
    <row r="201" spans="1:14" ht="22.5" customHeight="1" thickBot="1">
      <c r="A201" s="327"/>
      <c r="B201" s="318"/>
      <c r="C201" s="329"/>
      <c r="D201" s="327"/>
      <c r="E201" s="422"/>
      <c r="F201" s="35" t="s">
        <v>195</v>
      </c>
      <c r="G201" s="50" t="str">
        <f>HYPERLINK("http://gocook.dk/gocook-tv/groenkaalschips-0","Grønkålschips")</f>
        <v>Grønkålschips</v>
      </c>
      <c r="H201" s="19"/>
      <c r="I201" s="136"/>
      <c r="J201" s="129"/>
      <c r="K201" s="354"/>
      <c r="L201" s="338"/>
      <c r="M201" s="344"/>
      <c r="N201" s="359"/>
    </row>
    <row r="202" spans="1:14" ht="15.5">
      <c r="A202" s="327"/>
      <c r="B202" s="318"/>
      <c r="C202" s="329"/>
      <c r="D202" s="327"/>
      <c r="E202" s="422"/>
      <c r="F202" s="35" t="s">
        <v>196</v>
      </c>
      <c r="G202" s="50" t="str">
        <f>HYPERLINK("http://gocook.dk/gocook-tv/gorms-rosenkaals-chips","Gorms rosenkålschips")</f>
        <v>Gorms rosenkålschips</v>
      </c>
      <c r="H202" s="19"/>
      <c r="I202" s="136"/>
      <c r="J202" s="129"/>
      <c r="K202" s="355"/>
      <c r="L202" s="312"/>
      <c r="M202" s="341"/>
      <c r="N202" s="360"/>
    </row>
    <row r="203" spans="1:14" ht="16" thickBot="1">
      <c r="A203" s="327"/>
      <c r="B203" s="318"/>
      <c r="C203" s="329"/>
      <c r="D203" s="327"/>
      <c r="E203" s="422"/>
      <c r="F203" s="35" t="s">
        <v>197</v>
      </c>
      <c r="H203" s="19"/>
      <c r="I203" s="136"/>
      <c r="J203" s="129"/>
      <c r="K203" s="356"/>
      <c r="L203" s="312"/>
      <c r="M203" s="342"/>
      <c r="N203" s="358"/>
    </row>
    <row r="204" spans="1:14" ht="15.75" customHeight="1" thickTop="1">
      <c r="A204" s="327"/>
      <c r="B204" s="318"/>
      <c r="C204" s="329"/>
      <c r="D204" s="327"/>
      <c r="E204" s="317" t="s">
        <v>104</v>
      </c>
      <c r="F204" s="40"/>
      <c r="G204" s="26"/>
      <c r="H204" s="54" t="str">
        <f>HYPERLINK("http://gocook.dk/gocookbook/groenkaalschips","Grønkålschips")</f>
        <v>Grønkålschips</v>
      </c>
      <c r="I204" s="367" t="s">
        <v>43</v>
      </c>
      <c r="J204" s="272"/>
      <c r="K204" s="285" t="s">
        <v>575</v>
      </c>
      <c r="L204" s="531" t="s">
        <v>593</v>
      </c>
      <c r="M204" s="532" t="s">
        <v>155</v>
      </c>
      <c r="N204" s="535">
        <v>1</v>
      </c>
    </row>
    <row r="205" spans="1:14" ht="15.5">
      <c r="A205" s="327"/>
      <c r="B205" s="318"/>
      <c r="C205" s="329"/>
      <c r="D205" s="327"/>
      <c r="E205" s="318"/>
      <c r="F205" s="19"/>
      <c r="G205" s="273"/>
      <c r="H205" s="61" t="str">
        <f>HYPERLINK("http://gocook.dk/gocookbook/spidskalssalat-med-bacon","Spidskålssalat med bacon")</f>
        <v>Spidskålssalat med bacon</v>
      </c>
      <c r="I205" s="368"/>
      <c r="J205" s="149"/>
      <c r="K205" s="286"/>
      <c r="L205" s="291"/>
      <c r="M205" s="533"/>
      <c r="N205" s="536"/>
    </row>
    <row r="206" spans="1:14" ht="13.5" customHeight="1">
      <c r="A206" s="327"/>
      <c r="B206" s="318"/>
      <c r="C206" s="329"/>
      <c r="D206" s="327"/>
      <c r="E206" s="318"/>
      <c r="F206" s="19"/>
      <c r="G206" s="273"/>
      <c r="H206" s="61" t="str">
        <f>HYPERLINK("http://gocook.dk/gocookbook/salat-med-blomkaals-couscous","Salat med blomkålscouscous")</f>
        <v>Salat med blomkålscouscous</v>
      </c>
      <c r="I206" s="368"/>
      <c r="J206" s="149"/>
      <c r="K206" s="286"/>
      <c r="L206" s="291"/>
      <c r="M206" s="533"/>
      <c r="N206" s="536"/>
    </row>
    <row r="207" spans="1:14" ht="12.5" customHeight="1">
      <c r="A207" s="327"/>
      <c r="B207" s="318"/>
      <c r="C207" s="329"/>
      <c r="D207" s="327"/>
      <c r="E207" s="318"/>
      <c r="F207" s="19"/>
      <c r="G207" s="273"/>
      <c r="H207" s="19"/>
      <c r="I207" s="368"/>
      <c r="J207" s="149"/>
      <c r="K207" s="286"/>
      <c r="L207" s="291"/>
      <c r="M207" s="533"/>
      <c r="N207" s="536"/>
    </row>
    <row r="208" spans="1:14" s="267" customFormat="1" ht="12.5" customHeight="1">
      <c r="A208" s="327"/>
      <c r="B208" s="318"/>
      <c r="C208" s="329"/>
      <c r="D208" s="327"/>
      <c r="E208" s="318"/>
      <c r="F208" s="19"/>
      <c r="G208" s="273"/>
      <c r="H208" s="19"/>
      <c r="I208" s="368"/>
      <c r="J208" s="149"/>
      <c r="K208" s="286"/>
      <c r="L208" s="291"/>
      <c r="M208" s="533"/>
      <c r="N208" s="536"/>
    </row>
    <row r="209" spans="1:14" s="267" customFormat="1" ht="12.5" customHeight="1" thickBot="1">
      <c r="A209" s="327"/>
      <c r="B209" s="318"/>
      <c r="C209" s="329"/>
      <c r="D209" s="327"/>
      <c r="E209" s="529"/>
      <c r="F209" s="270"/>
      <c r="G209" s="271"/>
      <c r="H209" s="270"/>
      <c r="I209" s="369"/>
      <c r="J209" s="274"/>
      <c r="K209" s="530"/>
      <c r="L209" s="292"/>
      <c r="M209" s="534"/>
      <c r="N209" s="537"/>
    </row>
    <row r="210" spans="1:14" s="267" customFormat="1" ht="12.5" customHeight="1" thickTop="1" thickBot="1">
      <c r="A210" s="327"/>
      <c r="B210" s="555" t="s">
        <v>12</v>
      </c>
      <c r="C210" s="329" t="s">
        <v>560</v>
      </c>
      <c r="D210" s="327"/>
      <c r="E210" s="57"/>
      <c r="F210" s="57"/>
      <c r="G210" s="57"/>
      <c r="H210" s="57"/>
      <c r="I210" s="57"/>
      <c r="J210" s="57"/>
      <c r="K210" s="57"/>
      <c r="L210" s="57"/>
      <c r="M210" s="57"/>
      <c r="N210" s="57"/>
    </row>
    <row r="211" spans="1:14" s="267" customFormat="1" ht="16.5" thickTop="1" thickBot="1">
      <c r="A211" s="327"/>
      <c r="B211" s="318"/>
      <c r="C211" s="329"/>
      <c r="D211" s="327"/>
      <c r="E211" s="538" t="s">
        <v>228</v>
      </c>
      <c r="F211" s="228" t="s">
        <v>613</v>
      </c>
      <c r="G211" s="229"/>
      <c r="H211" s="230"/>
      <c r="I211" s="569" t="s">
        <v>614</v>
      </c>
      <c r="J211" s="565" t="s">
        <v>615</v>
      </c>
      <c r="K211" s="540" t="s">
        <v>573</v>
      </c>
      <c r="L211" s="401" t="s">
        <v>591</v>
      </c>
      <c r="M211" s="544" t="s">
        <v>616</v>
      </c>
      <c r="N211" s="517">
        <v>1</v>
      </c>
    </row>
    <row r="212" spans="1:14" s="267" customFormat="1" ht="16" customHeight="1" thickTop="1">
      <c r="A212" s="327"/>
      <c r="B212" s="318"/>
      <c r="C212" s="329"/>
      <c r="D212" s="327"/>
      <c r="E212" s="539"/>
      <c r="F212" s="231" t="s">
        <v>617</v>
      </c>
      <c r="G212" s="232" t="s">
        <v>618</v>
      </c>
      <c r="H212" s="230"/>
      <c r="I212" s="570"/>
      <c r="J212" s="566"/>
      <c r="K212" s="541"/>
      <c r="L212" s="401"/>
      <c r="M212" s="544"/>
      <c r="N212" s="517"/>
    </row>
    <row r="213" spans="1:14" s="267" customFormat="1" ht="17.5" customHeight="1">
      <c r="A213" s="327"/>
      <c r="B213" s="318"/>
      <c r="C213" s="329"/>
      <c r="D213" s="327"/>
      <c r="E213" s="539"/>
      <c r="F213" s="231" t="s">
        <v>619</v>
      </c>
      <c r="G213" s="232" t="s">
        <v>626</v>
      </c>
      <c r="H213" s="230"/>
      <c r="I213" s="571"/>
      <c r="J213" s="566"/>
      <c r="K213" s="541"/>
      <c r="L213" s="401"/>
      <c r="M213" s="544"/>
      <c r="N213" s="517"/>
    </row>
    <row r="214" spans="1:14" s="267" customFormat="1" ht="16.5" customHeight="1">
      <c r="A214" s="327"/>
      <c r="B214" s="318"/>
      <c r="C214" s="329"/>
      <c r="D214" s="327"/>
      <c r="E214" s="539"/>
      <c r="F214" s="231" t="s">
        <v>622</v>
      </c>
      <c r="G214" s="232" t="s">
        <v>629</v>
      </c>
      <c r="H214" s="231"/>
      <c r="I214" s="569" t="s">
        <v>620</v>
      </c>
      <c r="J214" s="567"/>
      <c r="K214" s="542"/>
      <c r="L214" s="401"/>
      <c r="M214" s="544"/>
      <c r="N214" s="517"/>
    </row>
    <row r="215" spans="1:14" s="267" customFormat="1" ht="15.5">
      <c r="A215" s="327"/>
      <c r="B215" s="318"/>
      <c r="C215" s="329"/>
      <c r="D215" s="327"/>
      <c r="E215" s="539"/>
      <c r="F215" s="231" t="s">
        <v>624</v>
      </c>
      <c r="G215" s="234" t="s">
        <v>630</v>
      </c>
      <c r="H215" s="231"/>
      <c r="I215" s="570"/>
      <c r="J215" s="565" t="s">
        <v>623</v>
      </c>
      <c r="K215" s="542"/>
      <c r="L215" s="401"/>
      <c r="M215" s="544" t="s">
        <v>621</v>
      </c>
      <c r="N215" s="517">
        <v>2</v>
      </c>
    </row>
    <row r="216" spans="1:14" s="267" customFormat="1" ht="15.5">
      <c r="A216" s="327"/>
      <c r="B216" s="318"/>
      <c r="C216" s="329"/>
      <c r="D216" s="327"/>
      <c r="E216" s="539"/>
      <c r="F216" s="231" t="s">
        <v>625</v>
      </c>
      <c r="G216" s="234" t="s">
        <v>632</v>
      </c>
      <c r="H216" s="231"/>
      <c r="I216" s="570"/>
      <c r="J216" s="566"/>
      <c r="K216" s="542"/>
      <c r="L216" s="401"/>
      <c r="M216" s="544"/>
      <c r="N216" s="517"/>
    </row>
    <row r="217" spans="1:14" s="267" customFormat="1" ht="24" customHeight="1">
      <c r="A217" s="327"/>
      <c r="B217" s="318"/>
      <c r="C217" s="329"/>
      <c r="D217" s="327"/>
      <c r="E217" s="539"/>
      <c r="F217" s="231" t="s">
        <v>628</v>
      </c>
      <c r="G217" s="232"/>
      <c r="H217" s="231"/>
      <c r="I217" s="571"/>
      <c r="J217" s="567"/>
      <c r="K217" s="542"/>
      <c r="L217" s="401"/>
      <c r="M217" s="544"/>
      <c r="N217" s="517"/>
    </row>
    <row r="218" spans="1:14" s="267" customFormat="1" ht="15.5">
      <c r="A218" s="327"/>
      <c r="B218" s="318"/>
      <c r="C218" s="329"/>
      <c r="D218" s="327"/>
      <c r="E218" s="539"/>
      <c r="F218" s="231" t="s">
        <v>631</v>
      </c>
      <c r="G218" s="232"/>
      <c r="H218" s="231"/>
      <c r="I218" s="569" t="s">
        <v>627</v>
      </c>
      <c r="J218" s="568" t="s">
        <v>677</v>
      </c>
      <c r="K218" s="542"/>
      <c r="L218" s="401"/>
      <c r="M218" s="544"/>
      <c r="N218" s="517"/>
    </row>
    <row r="219" spans="1:14" s="267" customFormat="1" ht="12.5" customHeight="1">
      <c r="A219" s="327"/>
      <c r="B219" s="318"/>
      <c r="C219" s="329"/>
      <c r="D219" s="327"/>
      <c r="E219" s="539"/>
      <c r="F219" s="231"/>
      <c r="G219" s="232"/>
      <c r="H219" s="231"/>
      <c r="I219" s="570"/>
      <c r="J219" s="405"/>
      <c r="K219" s="542"/>
      <c r="L219" s="401" t="s">
        <v>599</v>
      </c>
      <c r="M219" s="544" t="s">
        <v>490</v>
      </c>
      <c r="N219" s="517">
        <v>1</v>
      </c>
    </row>
    <row r="220" spans="1:14" s="267" customFormat="1" ht="12.5" customHeight="1">
      <c r="A220" s="327"/>
      <c r="B220" s="318"/>
      <c r="C220" s="329"/>
      <c r="D220" s="327"/>
      <c r="E220" s="539"/>
      <c r="F220" s="231"/>
      <c r="G220" s="232"/>
      <c r="H220" s="231"/>
      <c r="I220" s="570"/>
      <c r="J220" s="405"/>
      <c r="K220" s="542"/>
      <c r="L220" s="401"/>
      <c r="M220" s="544"/>
      <c r="N220" s="517"/>
    </row>
    <row r="221" spans="1:14" s="267" customFormat="1" ht="12.5" customHeight="1">
      <c r="A221" s="327"/>
      <c r="B221" s="318"/>
      <c r="C221" s="329"/>
      <c r="D221" s="327"/>
      <c r="E221" s="539"/>
      <c r="F221" s="231"/>
      <c r="G221" s="232"/>
      <c r="H221" s="231"/>
      <c r="I221" s="571"/>
      <c r="J221" s="406"/>
      <c r="K221" s="542"/>
      <c r="L221" s="401"/>
      <c r="M221" s="544"/>
      <c r="N221" s="517"/>
    </row>
    <row r="222" spans="1:14" s="267" customFormat="1" ht="12.5" customHeight="1">
      <c r="A222" s="327"/>
      <c r="B222" s="318"/>
      <c r="C222" s="329"/>
      <c r="D222" s="327"/>
      <c r="E222" s="539"/>
      <c r="F222" s="231"/>
      <c r="G222" s="242"/>
      <c r="H222" s="231"/>
      <c r="I222" s="245"/>
      <c r="J222" s="241"/>
      <c r="K222" s="542"/>
      <c r="L222" s="401"/>
      <c r="M222" s="544"/>
      <c r="N222" s="517"/>
    </row>
    <row r="223" spans="1:14" s="267" customFormat="1" ht="12.5" customHeight="1">
      <c r="A223" s="327"/>
      <c r="B223" s="318"/>
      <c r="C223" s="329"/>
      <c r="D223" s="327"/>
      <c r="E223" s="539"/>
      <c r="F223" s="231"/>
      <c r="G223" s="242"/>
      <c r="H223" s="231"/>
      <c r="I223" s="246"/>
      <c r="J223" s="241"/>
      <c r="K223" s="542"/>
      <c r="L223" s="401"/>
      <c r="M223" s="544"/>
      <c r="N223" s="517"/>
    </row>
    <row r="224" spans="1:14" s="267" customFormat="1" ht="12.5" customHeight="1">
      <c r="A224" s="327"/>
      <c r="B224" s="318"/>
      <c r="C224" s="329"/>
      <c r="D224" s="327"/>
      <c r="E224" s="539"/>
      <c r="F224" s="231"/>
      <c r="G224" s="242"/>
      <c r="H224" s="231"/>
      <c r="I224" s="246"/>
      <c r="J224" s="241"/>
      <c r="K224" s="542"/>
      <c r="L224" s="401"/>
      <c r="M224" s="518" t="s">
        <v>495</v>
      </c>
      <c r="N224" s="517">
        <v>1</v>
      </c>
    </row>
    <row r="225" spans="1:14" s="267" customFormat="1" ht="12.5" customHeight="1">
      <c r="A225" s="327"/>
      <c r="B225" s="318"/>
      <c r="C225" s="329"/>
      <c r="D225" s="327"/>
      <c r="E225" s="539"/>
      <c r="F225" s="231"/>
      <c r="G225" s="243"/>
      <c r="H225" s="231"/>
      <c r="I225" s="247"/>
      <c r="J225" s="240"/>
      <c r="K225" s="542"/>
      <c r="L225" s="401"/>
      <c r="M225" s="518"/>
      <c r="N225" s="517"/>
    </row>
    <row r="226" spans="1:14" s="267" customFormat="1" ht="12.5" customHeight="1">
      <c r="A226" s="327"/>
      <c r="B226" s="318"/>
      <c r="C226" s="329"/>
      <c r="D226" s="327"/>
      <c r="E226" s="539"/>
      <c r="F226" s="231"/>
      <c r="G226" s="243"/>
      <c r="H226" s="231"/>
      <c r="I226" s="247"/>
      <c r="J226" s="240"/>
      <c r="K226" s="542"/>
      <c r="L226" s="401"/>
      <c r="M226" s="518"/>
      <c r="N226" s="517"/>
    </row>
    <row r="227" spans="1:14" s="267" customFormat="1" ht="12.5" customHeight="1" thickBot="1">
      <c r="A227" s="327"/>
      <c r="B227" s="318"/>
      <c r="C227" s="329"/>
      <c r="D227" s="327"/>
      <c r="E227" s="539"/>
      <c r="F227" s="235"/>
      <c r="G227" s="244"/>
      <c r="H227" s="232"/>
      <c r="I227" s="248"/>
      <c r="J227" s="249"/>
      <c r="K227" s="543"/>
      <c r="L227" s="545"/>
      <c r="M227" s="519"/>
      <c r="N227" s="520"/>
    </row>
    <row r="228" spans="1:14" s="267" customFormat="1" ht="16" thickTop="1">
      <c r="A228" s="327"/>
      <c r="B228" s="318"/>
      <c r="C228" s="329"/>
      <c r="D228" s="327"/>
      <c r="E228" s="538" t="s">
        <v>245</v>
      </c>
      <c r="F228" s="231" t="s">
        <v>633</v>
      </c>
      <c r="G228" s="236" t="s">
        <v>634</v>
      </c>
      <c r="H228" s="236" t="s">
        <v>635</v>
      </c>
      <c r="I228" s="558" t="s">
        <v>43</v>
      </c>
      <c r="J228" s="561" t="s">
        <v>636</v>
      </c>
      <c r="K228" s="562" t="s">
        <v>577</v>
      </c>
      <c r="L228" s="490" t="s">
        <v>593</v>
      </c>
      <c r="M228" s="546" t="s">
        <v>637</v>
      </c>
      <c r="N228" s="547">
        <v>1</v>
      </c>
    </row>
    <row r="229" spans="1:14" s="267" customFormat="1" ht="15.5">
      <c r="A229" s="327"/>
      <c r="B229" s="318"/>
      <c r="C229" s="329"/>
      <c r="D229" s="327"/>
      <c r="E229" s="539"/>
      <c r="F229" s="231"/>
      <c r="G229" s="237" t="s">
        <v>638</v>
      </c>
      <c r="H229" s="232" t="s">
        <v>639</v>
      </c>
      <c r="I229" s="559"/>
      <c r="J229" s="550"/>
      <c r="K229" s="396"/>
      <c r="L229" s="401"/>
      <c r="M229" s="525"/>
      <c r="N229" s="548"/>
    </row>
    <row r="230" spans="1:14" s="267" customFormat="1" ht="15.5">
      <c r="A230" s="327"/>
      <c r="B230" s="318"/>
      <c r="C230" s="329"/>
      <c r="D230" s="327"/>
      <c r="E230" s="539"/>
      <c r="F230" s="231"/>
      <c r="G230" s="237" t="s">
        <v>640</v>
      </c>
      <c r="H230" s="232" t="s">
        <v>641</v>
      </c>
      <c r="I230" s="559"/>
      <c r="J230" s="550"/>
      <c r="K230" s="396"/>
      <c r="L230" s="401"/>
      <c r="M230" s="525"/>
      <c r="N230" s="548"/>
    </row>
    <row r="231" spans="1:14" s="267" customFormat="1" ht="15.5">
      <c r="A231" s="327"/>
      <c r="B231" s="318"/>
      <c r="C231" s="329"/>
      <c r="D231" s="327"/>
      <c r="E231" s="539"/>
      <c r="F231" s="231"/>
      <c r="G231" s="238" t="s">
        <v>643</v>
      </c>
      <c r="H231" s="232" t="s">
        <v>644</v>
      </c>
      <c r="I231" s="559"/>
      <c r="J231" s="551"/>
      <c r="K231" s="396"/>
      <c r="L231" s="401"/>
      <c r="M231" s="525"/>
      <c r="N231" s="548"/>
    </row>
    <row r="232" spans="1:14" s="267" customFormat="1" ht="15.5">
      <c r="A232" s="327"/>
      <c r="B232" s="318"/>
      <c r="C232" s="329"/>
      <c r="D232" s="327"/>
      <c r="E232" s="539"/>
      <c r="F232" s="231"/>
      <c r="G232" s="238" t="s">
        <v>646</v>
      </c>
      <c r="H232" s="232" t="s">
        <v>647</v>
      </c>
      <c r="I232" s="560"/>
      <c r="J232" s="549" t="s">
        <v>645</v>
      </c>
      <c r="K232" s="396"/>
      <c r="L232" s="401"/>
      <c r="M232" s="544" t="s">
        <v>642</v>
      </c>
      <c r="N232" s="517">
        <v>1</v>
      </c>
    </row>
    <row r="233" spans="1:14" s="267" customFormat="1" ht="15.5">
      <c r="A233" s="327"/>
      <c r="B233" s="318"/>
      <c r="C233" s="329"/>
      <c r="D233" s="327"/>
      <c r="E233" s="539"/>
      <c r="F233" s="231"/>
      <c r="G233" s="238" t="s">
        <v>648</v>
      </c>
      <c r="H233" s="232"/>
      <c r="I233" s="250"/>
      <c r="J233" s="550"/>
      <c r="K233" s="396"/>
      <c r="L233" s="401"/>
      <c r="M233" s="544"/>
      <c r="N233" s="517"/>
    </row>
    <row r="234" spans="1:14" s="267" customFormat="1" ht="12.5" customHeight="1">
      <c r="A234" s="327"/>
      <c r="B234" s="318"/>
      <c r="C234" s="329"/>
      <c r="D234" s="327"/>
      <c r="E234" s="539"/>
      <c r="F234" s="231"/>
      <c r="G234" s="237"/>
      <c r="H234" s="232"/>
      <c r="I234" s="169"/>
      <c r="J234" s="550"/>
      <c r="K234" s="396"/>
      <c r="L234" s="401"/>
      <c r="M234" s="544"/>
      <c r="N234" s="517"/>
    </row>
    <row r="235" spans="1:14" s="267" customFormat="1" ht="12.5" customHeight="1">
      <c r="A235" s="327"/>
      <c r="B235" s="318"/>
      <c r="C235" s="329"/>
      <c r="D235" s="327"/>
      <c r="E235" s="539"/>
      <c r="F235" s="233"/>
      <c r="G235" s="170"/>
      <c r="H235" s="170"/>
      <c r="I235" s="169"/>
      <c r="J235" s="551"/>
      <c r="K235" s="396"/>
      <c r="L235" s="401"/>
      <c r="M235" s="544"/>
      <c r="N235" s="517"/>
    </row>
    <row r="236" spans="1:14" s="267" customFormat="1" ht="12.5" customHeight="1">
      <c r="A236" s="327"/>
      <c r="B236" s="318"/>
      <c r="C236" s="329"/>
      <c r="D236" s="327"/>
      <c r="E236" s="539"/>
      <c r="F236" s="231"/>
      <c r="G236" s="170"/>
      <c r="H236" s="170"/>
      <c r="I236" s="169"/>
      <c r="J236" s="552" t="s">
        <v>649</v>
      </c>
      <c r="K236" s="396"/>
      <c r="L236" s="401"/>
      <c r="M236" s="544"/>
      <c r="N236" s="517"/>
    </row>
    <row r="237" spans="1:14" s="267" customFormat="1" ht="12.5" customHeight="1">
      <c r="A237" s="327"/>
      <c r="B237" s="318"/>
      <c r="C237" s="329"/>
      <c r="D237" s="327"/>
      <c r="E237" s="539"/>
      <c r="F237" s="230"/>
      <c r="G237" s="170"/>
      <c r="H237" s="230"/>
      <c r="I237" s="169"/>
      <c r="J237" s="476"/>
      <c r="K237" s="396"/>
      <c r="L237" s="401" t="s">
        <v>597</v>
      </c>
      <c r="M237" s="544" t="s">
        <v>651</v>
      </c>
      <c r="N237" s="517">
        <v>2</v>
      </c>
    </row>
    <row r="238" spans="1:14" s="267" customFormat="1" ht="12.5" customHeight="1">
      <c r="A238" s="327"/>
      <c r="B238" s="318"/>
      <c r="C238" s="329"/>
      <c r="D238" s="327"/>
      <c r="E238" s="539"/>
      <c r="F238" s="230"/>
      <c r="G238" s="230"/>
      <c r="H238" s="230"/>
      <c r="I238" s="169"/>
      <c r="J238" s="476"/>
      <c r="K238" s="396"/>
      <c r="L238" s="401"/>
      <c r="M238" s="544"/>
      <c r="N238" s="517"/>
    </row>
    <row r="239" spans="1:14" s="267" customFormat="1" ht="12.5" customHeight="1">
      <c r="A239" s="327"/>
      <c r="B239" s="318"/>
      <c r="C239" s="329"/>
      <c r="D239" s="327"/>
      <c r="E239" s="539"/>
      <c r="F239" s="230"/>
      <c r="G239" s="230"/>
      <c r="H239" s="230"/>
      <c r="I239" s="169"/>
      <c r="J239" s="476"/>
      <c r="K239" s="396"/>
      <c r="L239" s="401"/>
      <c r="M239" s="544"/>
      <c r="N239" s="517"/>
    </row>
    <row r="240" spans="1:14" s="267" customFormat="1" ht="12.5" customHeight="1">
      <c r="A240" s="327"/>
      <c r="B240" s="318"/>
      <c r="C240" s="329"/>
      <c r="D240" s="327"/>
      <c r="E240" s="539"/>
      <c r="F240" s="230"/>
      <c r="G240" s="230"/>
      <c r="H240" s="230"/>
      <c r="I240" s="169"/>
      <c r="J240" s="477"/>
      <c r="K240" s="396"/>
      <c r="L240" s="401"/>
      <c r="M240" s="544"/>
      <c r="N240" s="517"/>
    </row>
    <row r="241" spans="1:14" s="267" customFormat="1" ht="12.5" customHeight="1">
      <c r="A241" s="327"/>
      <c r="B241" s="318"/>
      <c r="C241" s="329"/>
      <c r="D241" s="327"/>
      <c r="E241" s="539"/>
      <c r="F241" s="230"/>
      <c r="G241" s="230"/>
      <c r="H241" s="230"/>
      <c r="I241" s="169"/>
      <c r="J241" s="251"/>
      <c r="K241" s="396"/>
      <c r="L241" s="401"/>
      <c r="M241" s="544"/>
      <c r="N241" s="517"/>
    </row>
    <row r="242" spans="1:14" s="267" customFormat="1" ht="12.5" customHeight="1">
      <c r="A242" s="327"/>
      <c r="B242" s="318"/>
      <c r="C242" s="329"/>
      <c r="D242" s="327"/>
      <c r="E242" s="539"/>
      <c r="F242" s="230"/>
      <c r="G242" s="230"/>
      <c r="H242" s="230"/>
      <c r="I242" s="169"/>
      <c r="J242" s="252"/>
      <c r="K242" s="396"/>
      <c r="L242" s="401"/>
      <c r="M242" s="544"/>
      <c r="N242" s="517"/>
    </row>
    <row r="243" spans="1:14" s="267" customFormat="1" ht="12.5" customHeight="1">
      <c r="A243" s="327"/>
      <c r="B243" s="318"/>
      <c r="C243" s="329"/>
      <c r="D243" s="327"/>
      <c r="E243" s="539"/>
      <c r="F243" s="230"/>
      <c r="G243" s="230"/>
      <c r="H243" s="230"/>
      <c r="I243" s="169"/>
      <c r="J243" s="252"/>
      <c r="K243" s="396"/>
      <c r="L243" s="401"/>
      <c r="M243" s="544"/>
      <c r="N243" s="517"/>
    </row>
    <row r="244" spans="1:14" s="267" customFormat="1" ht="12.5" customHeight="1">
      <c r="A244" s="327"/>
      <c r="B244" s="318"/>
      <c r="C244" s="329"/>
      <c r="D244" s="327"/>
      <c r="E244" s="539"/>
      <c r="F244" s="230"/>
      <c r="G244" s="230"/>
      <c r="H244" s="230"/>
      <c r="I244" s="169"/>
      <c r="J244" s="252"/>
      <c r="K244" s="396"/>
      <c r="L244" s="401"/>
      <c r="M244" s="544"/>
      <c r="N244" s="517"/>
    </row>
    <row r="245" spans="1:14" s="267" customFormat="1" ht="12.5" customHeight="1">
      <c r="A245" s="327"/>
      <c r="B245" s="318"/>
      <c r="C245" s="329"/>
      <c r="D245" s="327"/>
      <c r="E245" s="539"/>
      <c r="F245" s="230"/>
      <c r="G245" s="230"/>
      <c r="H245" s="230"/>
      <c r="I245" s="169"/>
      <c r="J245" s="252"/>
      <c r="K245" s="396"/>
      <c r="L245" s="401"/>
      <c r="M245" s="544" t="s">
        <v>652</v>
      </c>
      <c r="N245" s="517">
        <v>2</v>
      </c>
    </row>
    <row r="246" spans="1:14" s="267" customFormat="1" ht="12.5" customHeight="1">
      <c r="A246" s="327"/>
      <c r="B246" s="318"/>
      <c r="C246" s="329"/>
      <c r="D246" s="327"/>
      <c r="E246" s="539"/>
      <c r="F246" s="230"/>
      <c r="G246" s="230"/>
      <c r="H246" s="230"/>
      <c r="I246" s="169"/>
      <c r="J246" s="252"/>
      <c r="K246" s="396"/>
      <c r="L246" s="401"/>
      <c r="M246" s="544"/>
      <c r="N246" s="517"/>
    </row>
    <row r="247" spans="1:14" s="267" customFormat="1" ht="12.5" customHeight="1">
      <c r="A247" s="327"/>
      <c r="B247" s="318"/>
      <c r="C247" s="329"/>
      <c r="D247" s="327"/>
      <c r="E247" s="539"/>
      <c r="F247" s="230"/>
      <c r="G247" s="230"/>
      <c r="H247" s="230"/>
      <c r="I247" s="169"/>
      <c r="J247" s="252"/>
      <c r="K247" s="396"/>
      <c r="L247" s="401"/>
      <c r="M247" s="544"/>
      <c r="N247" s="517"/>
    </row>
    <row r="248" spans="1:14" s="267" customFormat="1" ht="12.5" customHeight="1">
      <c r="A248" s="327"/>
      <c r="B248" s="318"/>
      <c r="C248" s="329"/>
      <c r="D248" s="327"/>
      <c r="E248" s="539"/>
      <c r="F248" s="230"/>
      <c r="G248" s="230"/>
      <c r="H248" s="230"/>
      <c r="I248" s="169"/>
      <c r="J248" s="252"/>
      <c r="K248" s="396"/>
      <c r="L248" s="401"/>
      <c r="M248" s="544"/>
      <c r="N248" s="517"/>
    </row>
    <row r="249" spans="1:14" s="267" customFormat="1" ht="12.5" customHeight="1">
      <c r="A249" s="327"/>
      <c r="B249" s="318"/>
      <c r="C249" s="329"/>
      <c r="D249" s="327"/>
      <c r="E249" s="539"/>
      <c r="F249" s="230"/>
      <c r="G249" s="230"/>
      <c r="H249" s="230"/>
      <c r="I249" s="169"/>
      <c r="J249" s="252"/>
      <c r="K249" s="396"/>
      <c r="L249" s="401"/>
      <c r="M249" s="544"/>
      <c r="N249" s="517"/>
    </row>
    <row r="250" spans="1:14" s="267" customFormat="1" ht="12.5" customHeight="1">
      <c r="A250" s="327"/>
      <c r="B250" s="318"/>
      <c r="C250" s="329"/>
      <c r="D250" s="327"/>
      <c r="E250" s="539"/>
      <c r="F250" s="230"/>
      <c r="G250" s="230"/>
      <c r="H250" s="230"/>
      <c r="I250" s="169"/>
      <c r="J250" s="252"/>
      <c r="K250" s="396"/>
      <c r="L250" s="401"/>
      <c r="M250" s="544"/>
      <c r="N250" s="517"/>
    </row>
    <row r="251" spans="1:14" s="267" customFormat="1" ht="12.5" customHeight="1">
      <c r="A251" s="327"/>
      <c r="B251" s="318"/>
      <c r="C251" s="329"/>
      <c r="D251" s="327"/>
      <c r="E251" s="539"/>
      <c r="F251" s="230"/>
      <c r="G251" s="230"/>
      <c r="H251" s="230"/>
      <c r="I251" s="169"/>
      <c r="J251" s="252"/>
      <c r="K251" s="396"/>
      <c r="L251" s="401" t="s">
        <v>595</v>
      </c>
      <c r="M251" s="525" t="s">
        <v>650</v>
      </c>
      <c r="N251" s="517">
        <v>1</v>
      </c>
    </row>
    <row r="252" spans="1:14" s="267" customFormat="1" ht="12.5" customHeight="1">
      <c r="A252" s="327"/>
      <c r="B252" s="318"/>
      <c r="C252" s="329"/>
      <c r="D252" s="327"/>
      <c r="E252" s="539"/>
      <c r="F252" s="230"/>
      <c r="G252" s="230"/>
      <c r="H252" s="230"/>
      <c r="I252" s="169"/>
      <c r="J252" s="252"/>
      <c r="K252" s="396"/>
      <c r="L252" s="401"/>
      <c r="M252" s="525"/>
      <c r="N252" s="517"/>
    </row>
    <row r="253" spans="1:14" s="267" customFormat="1" ht="12.5" customHeight="1">
      <c r="A253" s="327"/>
      <c r="B253" s="318"/>
      <c r="C253" s="329"/>
      <c r="D253" s="327"/>
      <c r="E253" s="539"/>
      <c r="F253" s="230"/>
      <c r="G253" s="230"/>
      <c r="H253" s="230"/>
      <c r="I253" s="169"/>
      <c r="J253" s="252"/>
      <c r="K253" s="396"/>
      <c r="L253" s="401"/>
      <c r="M253" s="525"/>
      <c r="N253" s="517"/>
    </row>
    <row r="254" spans="1:14" s="267" customFormat="1" ht="12.5" customHeight="1">
      <c r="A254" s="327"/>
      <c r="B254" s="318"/>
      <c r="C254" s="329"/>
      <c r="D254" s="327"/>
      <c r="E254" s="539"/>
      <c r="F254" s="230"/>
      <c r="G254" s="230"/>
      <c r="H254" s="230"/>
      <c r="I254" s="169"/>
      <c r="J254" s="252"/>
      <c r="K254" s="396"/>
      <c r="L254" s="401"/>
      <c r="M254" s="525"/>
      <c r="N254" s="517"/>
    </row>
    <row r="255" spans="1:14" s="267" customFormat="1" ht="12.5" customHeight="1">
      <c r="A255" s="327"/>
      <c r="B255" s="318"/>
      <c r="C255" s="329"/>
      <c r="D255" s="327"/>
      <c r="E255" s="539"/>
      <c r="F255" s="230"/>
      <c r="G255" s="230"/>
      <c r="H255" s="230"/>
      <c r="I255" s="169"/>
      <c r="J255" s="252"/>
      <c r="K255" s="396"/>
      <c r="L255" s="401"/>
      <c r="M255" s="525"/>
      <c r="N255" s="517"/>
    </row>
    <row r="256" spans="1:14" s="267" customFormat="1" ht="12.5" customHeight="1">
      <c r="A256" s="327"/>
      <c r="B256" s="318"/>
      <c r="C256" s="329"/>
      <c r="D256" s="327"/>
      <c r="E256" s="539"/>
      <c r="F256" s="230"/>
      <c r="G256" s="230"/>
      <c r="H256" s="230"/>
      <c r="I256" s="169"/>
      <c r="J256" s="252"/>
      <c r="K256" s="396"/>
      <c r="L256" s="401"/>
      <c r="M256" s="525" t="s">
        <v>225</v>
      </c>
      <c r="N256" s="527">
        <v>1</v>
      </c>
    </row>
    <row r="257" spans="1:14" s="267" customFormat="1" ht="12.5" customHeight="1">
      <c r="A257" s="327"/>
      <c r="B257" s="318"/>
      <c r="C257" s="329"/>
      <c r="D257" s="327"/>
      <c r="E257" s="539"/>
      <c r="F257" s="230"/>
      <c r="G257" s="230"/>
      <c r="H257" s="230"/>
      <c r="I257" s="169"/>
      <c r="J257" s="252"/>
      <c r="K257" s="563"/>
      <c r="L257" s="564"/>
      <c r="M257" s="526"/>
      <c r="N257" s="528"/>
    </row>
    <row r="258" spans="1:14" s="267" customFormat="1" ht="12.5" customHeight="1">
      <c r="A258" s="327"/>
      <c r="B258" s="318"/>
      <c r="C258" s="329"/>
      <c r="D258" s="327"/>
      <c r="E258" s="539"/>
      <c r="F258" s="230"/>
      <c r="G258" s="230"/>
      <c r="H258" s="230"/>
      <c r="I258" s="169"/>
      <c r="J258" s="252"/>
      <c r="K258" s="563"/>
      <c r="L258" s="564"/>
      <c r="M258" s="526"/>
      <c r="N258" s="528"/>
    </row>
    <row r="259" spans="1:14" s="267" customFormat="1" ht="12.5" customHeight="1" thickBot="1">
      <c r="A259" s="327"/>
      <c r="B259" s="556"/>
      <c r="C259" s="554"/>
      <c r="D259" s="327"/>
      <c r="E259" s="557"/>
      <c r="F259" s="230"/>
      <c r="G259" s="230"/>
      <c r="H259" s="230"/>
      <c r="I259" s="253"/>
      <c r="J259" s="253"/>
      <c r="K259" s="563"/>
      <c r="L259" s="564"/>
      <c r="M259" s="526"/>
      <c r="N259" s="528"/>
    </row>
    <row r="260" spans="1:14" ht="17.25" customHeight="1" thickTop="1" thickBot="1">
      <c r="A260" s="326" t="s">
        <v>198</v>
      </c>
      <c r="B260" s="317" t="s">
        <v>12</v>
      </c>
      <c r="C260" s="328" t="s">
        <v>559</v>
      </c>
      <c r="D260" s="326" t="s">
        <v>199</v>
      </c>
      <c r="E260" s="123"/>
      <c r="F260" s="56" t="s">
        <v>200</v>
      </c>
      <c r="G260" s="57"/>
      <c r="H260" s="58"/>
      <c r="I260" s="139"/>
      <c r="J260" s="139"/>
      <c r="K260" s="140"/>
      <c r="L260" s="140"/>
      <c r="M260" s="165"/>
      <c r="N260" s="176"/>
    </row>
    <row r="261" spans="1:14" ht="17.25" customHeight="1" thickTop="1" thickBot="1">
      <c r="A261" s="327"/>
      <c r="B261" s="318"/>
      <c r="C261" s="329"/>
      <c r="D261" s="327"/>
      <c r="E261" s="333" t="s">
        <v>78</v>
      </c>
      <c r="F261" s="94" t="s">
        <v>563</v>
      </c>
      <c r="H261" s="19"/>
      <c r="I261" s="350" t="s">
        <v>202</v>
      </c>
      <c r="J261" s="363" t="s">
        <v>201</v>
      </c>
      <c r="K261" s="353" t="s">
        <v>573</v>
      </c>
      <c r="L261" s="336" t="s">
        <v>591</v>
      </c>
      <c r="M261" s="339" t="s">
        <v>144</v>
      </c>
      <c r="N261" s="357">
        <v>1</v>
      </c>
    </row>
    <row r="262" spans="1:14" ht="16" thickTop="1">
      <c r="A262" s="327"/>
      <c r="B262" s="318"/>
      <c r="C262" s="329"/>
      <c r="D262" s="327"/>
      <c r="E262" s="334"/>
      <c r="F262" s="35" t="s">
        <v>203</v>
      </c>
      <c r="G262" s="50" t="str">
        <f>HYPERLINK("http://gocook.dk/gocook-tv/film-04-mikkel-finder-grundsmage-paa-markedet","Mikkel finder grundsmage på markedet")</f>
        <v>Mikkel finder grundsmage på markedet</v>
      </c>
      <c r="H262" s="19"/>
      <c r="I262" s="351"/>
      <c r="J262" s="364"/>
      <c r="K262" s="354"/>
      <c r="L262" s="337"/>
      <c r="M262" s="340"/>
      <c r="N262" s="358"/>
    </row>
    <row r="263" spans="1:14" ht="30" customHeight="1">
      <c r="A263" s="327"/>
      <c r="B263" s="318"/>
      <c r="C263" s="329"/>
      <c r="D263" s="327"/>
      <c r="E263" s="334"/>
      <c r="F263" s="35" t="s">
        <v>47</v>
      </c>
      <c r="H263" s="19"/>
      <c r="I263" s="351"/>
      <c r="J263" s="365" t="s">
        <v>204</v>
      </c>
      <c r="K263" s="354"/>
      <c r="L263" s="337"/>
      <c r="M263" s="344"/>
      <c r="N263" s="358"/>
    </row>
    <row r="264" spans="1:14" ht="15.5">
      <c r="A264" s="327"/>
      <c r="B264" s="318"/>
      <c r="C264" s="329"/>
      <c r="D264" s="327"/>
      <c r="E264" s="334"/>
      <c r="F264" s="35" t="s">
        <v>48</v>
      </c>
      <c r="H264" s="19"/>
      <c r="I264" s="351"/>
      <c r="J264" s="364"/>
      <c r="K264" s="354"/>
      <c r="L264" s="337"/>
      <c r="M264" s="361" t="s">
        <v>150</v>
      </c>
      <c r="N264" s="358"/>
    </row>
    <row r="265" spans="1:14" ht="15.5">
      <c r="A265" s="327"/>
      <c r="B265" s="318"/>
      <c r="C265" s="329"/>
      <c r="D265" s="327"/>
      <c r="E265" s="334"/>
      <c r="F265" s="35" t="s">
        <v>51</v>
      </c>
      <c r="H265" s="19"/>
      <c r="I265" s="351"/>
      <c r="J265" s="366"/>
      <c r="K265" s="354"/>
      <c r="L265" s="337"/>
      <c r="M265" s="340"/>
      <c r="N265" s="358"/>
    </row>
    <row r="266" spans="1:14" ht="31.5" thickBot="1">
      <c r="A266" s="327"/>
      <c r="B266" s="318"/>
      <c r="C266" s="329"/>
      <c r="D266" s="327"/>
      <c r="E266" s="334"/>
      <c r="F266" s="35" t="s">
        <v>205</v>
      </c>
      <c r="G266" s="73" t="str">
        <f>HYPERLINK("http://gocook.dk/gocook-tv/film-20-mikkel-smager-paa-den-staerke-manzano-chili","Mikkel smager på den stærke manzano chili")</f>
        <v>Mikkel smager på den stærke manzano chili</v>
      </c>
      <c r="H266" s="19"/>
      <c r="I266" s="352"/>
      <c r="J266" s="129"/>
      <c r="K266" s="354"/>
      <c r="L266" s="338"/>
      <c r="M266" s="344"/>
      <c r="N266" s="359"/>
    </row>
    <row r="267" spans="1:14" ht="15.5">
      <c r="A267" s="327"/>
      <c r="B267" s="318"/>
      <c r="C267" s="329"/>
      <c r="D267" s="327"/>
      <c r="E267" s="334"/>
      <c r="F267" s="35" t="s">
        <v>206</v>
      </c>
      <c r="H267" s="19"/>
      <c r="I267" s="350" t="s">
        <v>207</v>
      </c>
      <c r="J267" s="129"/>
      <c r="K267" s="355"/>
      <c r="L267" s="312"/>
      <c r="M267" s="341"/>
      <c r="N267" s="371"/>
    </row>
    <row r="268" spans="1:14" ht="15.5">
      <c r="A268" s="327"/>
      <c r="B268" s="318"/>
      <c r="C268" s="329"/>
      <c r="D268" s="327"/>
      <c r="E268" s="334"/>
      <c r="F268" s="35"/>
      <c r="H268" s="19"/>
      <c r="I268" s="351"/>
      <c r="J268" s="129"/>
      <c r="K268" s="355"/>
      <c r="L268" s="312"/>
      <c r="M268" s="342"/>
      <c r="N268" s="372"/>
    </row>
    <row r="269" spans="1:14" ht="15.5">
      <c r="A269" s="327"/>
      <c r="B269" s="318"/>
      <c r="C269" s="329"/>
      <c r="D269" s="327"/>
      <c r="E269" s="334"/>
      <c r="F269" s="35"/>
      <c r="H269" s="19"/>
      <c r="I269" s="351"/>
      <c r="J269" s="129"/>
      <c r="K269" s="355"/>
      <c r="L269" s="312"/>
      <c r="M269" s="342"/>
      <c r="N269" s="372"/>
    </row>
    <row r="270" spans="1:14" ht="15.5">
      <c r="A270" s="327"/>
      <c r="B270" s="318"/>
      <c r="C270" s="329"/>
      <c r="D270" s="327"/>
      <c r="E270" s="334"/>
      <c r="F270" s="35"/>
      <c r="H270" s="19"/>
      <c r="I270" s="350" t="s">
        <v>208</v>
      </c>
      <c r="J270" s="129"/>
      <c r="K270" s="355"/>
      <c r="L270" s="312"/>
      <c r="M270" s="342"/>
      <c r="N270" s="372"/>
    </row>
    <row r="271" spans="1:14" ht="15.5">
      <c r="A271" s="327"/>
      <c r="B271" s="318"/>
      <c r="C271" s="329"/>
      <c r="D271" s="327"/>
      <c r="E271" s="334"/>
      <c r="F271" s="35"/>
      <c r="H271" s="19"/>
      <c r="I271" s="351"/>
      <c r="J271" s="129"/>
      <c r="K271" s="355"/>
      <c r="L271" s="312"/>
      <c r="M271" s="342"/>
      <c r="N271" s="372"/>
    </row>
    <row r="272" spans="1:14" ht="15.5">
      <c r="A272" s="327"/>
      <c r="B272" s="318"/>
      <c r="C272" s="329"/>
      <c r="D272" s="327"/>
      <c r="E272" s="334"/>
      <c r="F272" s="35"/>
      <c r="H272" s="19"/>
      <c r="I272" s="351"/>
      <c r="J272" s="129"/>
      <c r="K272" s="355"/>
      <c r="L272" s="312"/>
      <c r="M272" s="342"/>
      <c r="N272" s="372"/>
    </row>
    <row r="273" spans="1:14" ht="15.5">
      <c r="A273" s="327"/>
      <c r="B273" s="318"/>
      <c r="C273" s="329"/>
      <c r="D273" s="327"/>
      <c r="E273" s="334"/>
      <c r="F273" s="35"/>
      <c r="H273" s="19"/>
      <c r="I273" s="351"/>
      <c r="J273" s="129"/>
      <c r="K273" s="355"/>
      <c r="L273" s="312"/>
      <c r="M273" s="342"/>
      <c r="N273" s="372"/>
    </row>
    <row r="274" spans="1:14" ht="15.5">
      <c r="A274" s="327"/>
      <c r="B274" s="318"/>
      <c r="C274" s="329"/>
      <c r="D274" s="327"/>
      <c r="E274" s="334"/>
      <c r="F274" s="35"/>
      <c r="H274" s="19"/>
      <c r="I274" s="351"/>
      <c r="J274" s="129"/>
      <c r="K274" s="355"/>
      <c r="L274" s="312"/>
      <c r="M274" s="342"/>
      <c r="N274" s="372"/>
    </row>
    <row r="275" spans="1:14" ht="15.5">
      <c r="A275" s="327"/>
      <c r="B275" s="318"/>
      <c r="C275" s="329"/>
      <c r="D275" s="327"/>
      <c r="E275" s="334"/>
      <c r="F275" s="35"/>
      <c r="H275" s="19"/>
      <c r="I275" s="351"/>
      <c r="J275" s="129"/>
      <c r="K275" s="355"/>
      <c r="L275" s="312"/>
      <c r="M275" s="342"/>
      <c r="N275" s="372"/>
    </row>
    <row r="276" spans="1:14" ht="15.5">
      <c r="A276" s="327"/>
      <c r="B276" s="318"/>
      <c r="C276" s="329"/>
      <c r="D276" s="327"/>
      <c r="E276" s="334"/>
      <c r="F276" s="35"/>
      <c r="H276" s="19"/>
      <c r="I276" s="351"/>
      <c r="J276" s="129"/>
      <c r="K276" s="355"/>
      <c r="L276" s="312"/>
      <c r="M276" s="342"/>
      <c r="N276" s="372"/>
    </row>
    <row r="277" spans="1:14" ht="12.5">
      <c r="A277" s="327"/>
      <c r="B277" s="318"/>
      <c r="C277" s="329"/>
      <c r="D277" s="327"/>
      <c r="E277" s="334"/>
      <c r="F277" s="19"/>
      <c r="H277" s="19"/>
      <c r="I277" s="351"/>
      <c r="J277" s="129"/>
      <c r="K277" s="355"/>
      <c r="L277" s="312"/>
      <c r="M277" s="342"/>
      <c r="N277" s="372"/>
    </row>
    <row r="278" spans="1:14" ht="13" thickBot="1">
      <c r="A278" s="327"/>
      <c r="B278" s="318"/>
      <c r="C278" s="329"/>
      <c r="D278" s="327"/>
      <c r="E278" s="335"/>
      <c r="F278" s="19"/>
      <c r="H278" s="19"/>
      <c r="I278" s="351"/>
      <c r="J278" s="129"/>
      <c r="K278" s="355"/>
      <c r="L278" s="312"/>
      <c r="M278" s="342"/>
      <c r="N278" s="372"/>
    </row>
    <row r="279" spans="1:14" ht="13" customHeight="1" thickTop="1">
      <c r="A279" s="327"/>
      <c r="B279" s="318"/>
      <c r="C279" s="329"/>
      <c r="D279" s="327"/>
      <c r="E279" s="317" t="s">
        <v>42</v>
      </c>
      <c r="F279" s="40"/>
      <c r="G279" s="26"/>
      <c r="H279" s="40"/>
      <c r="I279" s="370" t="s">
        <v>43</v>
      </c>
      <c r="J279" s="134"/>
      <c r="K279" s="355"/>
      <c r="L279" s="312"/>
      <c r="M279" s="342"/>
      <c r="N279" s="372"/>
    </row>
    <row r="280" spans="1:14" ht="12.5">
      <c r="A280" s="327"/>
      <c r="B280" s="318"/>
      <c r="C280" s="329"/>
      <c r="D280" s="327"/>
      <c r="E280" s="318"/>
      <c r="F280" s="19"/>
      <c r="H280" s="19"/>
      <c r="I280" s="351"/>
      <c r="J280" s="129"/>
      <c r="K280" s="355"/>
      <c r="L280" s="312"/>
      <c r="M280" s="342"/>
      <c r="N280" s="372"/>
    </row>
    <row r="281" spans="1:14" ht="12.5">
      <c r="A281" s="327"/>
      <c r="B281" s="318"/>
      <c r="C281" s="329"/>
      <c r="D281" s="327"/>
      <c r="E281" s="318"/>
      <c r="F281" s="19"/>
      <c r="H281" s="19"/>
      <c r="I281" s="351"/>
      <c r="J281" s="129"/>
      <c r="K281" s="355"/>
      <c r="L281" s="312"/>
      <c r="M281" s="342"/>
      <c r="N281" s="372"/>
    </row>
    <row r="282" spans="1:14" ht="12.5">
      <c r="A282" s="327"/>
      <c r="B282" s="318"/>
      <c r="C282" s="329"/>
      <c r="D282" s="327"/>
      <c r="E282" s="318"/>
      <c r="F282" s="19"/>
      <c r="H282" s="19"/>
      <c r="I282" s="351"/>
      <c r="J282" s="129"/>
      <c r="K282" s="355"/>
      <c r="L282" s="312"/>
      <c r="M282" s="342"/>
      <c r="N282" s="372"/>
    </row>
    <row r="283" spans="1:14" ht="13" thickBot="1">
      <c r="A283" s="327"/>
      <c r="B283" s="319"/>
      <c r="C283" s="330"/>
      <c r="D283" s="327"/>
      <c r="E283" s="319"/>
      <c r="F283" s="19"/>
      <c r="H283" s="19"/>
      <c r="I283" s="352"/>
      <c r="J283" s="129"/>
      <c r="K283" s="356"/>
      <c r="L283" s="313"/>
      <c r="M283" s="362"/>
      <c r="N283" s="374"/>
    </row>
    <row r="284" spans="1:14" ht="16" customHeight="1" thickBot="1">
      <c r="A284" s="327"/>
      <c r="B284" s="331" t="s">
        <v>12</v>
      </c>
      <c r="C284" s="332" t="s">
        <v>560</v>
      </c>
      <c r="D284" s="327"/>
      <c r="E284" s="122"/>
      <c r="F284" s="31" t="s">
        <v>209</v>
      </c>
      <c r="G284" s="32"/>
      <c r="H284" s="42"/>
      <c r="I284" s="132"/>
      <c r="J284" s="132"/>
      <c r="K284" s="133"/>
      <c r="L284" s="133"/>
      <c r="M284" s="164"/>
      <c r="N284" s="175"/>
    </row>
    <row r="285" spans="1:14" ht="17.25" customHeight="1" thickTop="1" thickBot="1">
      <c r="A285" s="327"/>
      <c r="B285" s="318"/>
      <c r="C285" s="329"/>
      <c r="D285" s="327"/>
      <c r="E285" s="333" t="s">
        <v>15</v>
      </c>
      <c r="F285" s="17" t="s">
        <v>53</v>
      </c>
      <c r="H285" s="19"/>
      <c r="I285" s="350" t="s">
        <v>211</v>
      </c>
      <c r="J285" s="363" t="s">
        <v>210</v>
      </c>
      <c r="K285" s="353" t="s">
        <v>576</v>
      </c>
      <c r="L285" s="336" t="s">
        <v>591</v>
      </c>
      <c r="M285" s="339" t="s">
        <v>144</v>
      </c>
      <c r="N285" s="357">
        <v>1</v>
      </c>
    </row>
    <row r="286" spans="1:14" ht="16" thickTop="1">
      <c r="A286" s="327"/>
      <c r="B286" s="318"/>
      <c r="C286" s="329"/>
      <c r="D286" s="327"/>
      <c r="E286" s="334"/>
      <c r="F286" s="35" t="s">
        <v>55</v>
      </c>
      <c r="G286" s="28" t="str">
        <f>HYPERLINK("http://gocook.dk/gocook-tv/film-04-mikkel-finder-grundsmage-paa-markedet","Mikkel finder grundsmage på markedet")</f>
        <v>Mikkel finder grundsmage på markedet</v>
      </c>
      <c r="H286" s="19"/>
      <c r="I286" s="351"/>
      <c r="J286" s="364"/>
      <c r="K286" s="354"/>
      <c r="L286" s="337"/>
      <c r="M286" s="340"/>
      <c r="N286" s="358"/>
    </row>
    <row r="287" spans="1:14" ht="36.75" customHeight="1">
      <c r="A287" s="327"/>
      <c r="B287" s="318"/>
      <c r="C287" s="329"/>
      <c r="D287" s="327"/>
      <c r="E287" s="334"/>
      <c r="F287" s="35" t="s">
        <v>212</v>
      </c>
      <c r="G287" s="28" t="str">
        <f>HYPERLINK("http://gocook.dk/kokkeskolen/krydderier-svitse","Krydderier, svitse")</f>
        <v>Krydderier, svitse</v>
      </c>
      <c r="H287" s="19"/>
      <c r="I287" s="351"/>
      <c r="J287" s="366"/>
      <c r="K287" s="354"/>
      <c r="L287" s="337"/>
      <c r="M287" s="344"/>
      <c r="N287" s="358"/>
    </row>
    <row r="288" spans="1:14" ht="15.5">
      <c r="A288" s="327"/>
      <c r="B288" s="318"/>
      <c r="C288" s="329"/>
      <c r="D288" s="327"/>
      <c r="E288" s="334"/>
      <c r="F288" s="35" t="s">
        <v>213</v>
      </c>
      <c r="G288" s="28" t="str">
        <f>HYPERLINK("http://gocook.dk/gocook-tv/film-05-mikkel-smager-paa-chili-og-friske-nelliker","Mikkel smager på chili og friske nelliker")</f>
        <v>Mikkel smager på chili og friske nelliker</v>
      </c>
      <c r="H288" s="19"/>
      <c r="I288" s="352"/>
      <c r="J288" s="363" t="s">
        <v>214</v>
      </c>
      <c r="K288" s="354"/>
      <c r="L288" s="337"/>
      <c r="M288" s="361" t="s">
        <v>150</v>
      </c>
      <c r="N288" s="358"/>
    </row>
    <row r="289" spans="1:14" ht="31" customHeight="1">
      <c r="A289" s="327"/>
      <c r="B289" s="318"/>
      <c r="C289" s="329"/>
      <c r="D289" s="327"/>
      <c r="E289" s="334"/>
      <c r="F289" s="35" t="s">
        <v>215</v>
      </c>
      <c r="G289" s="74" t="str">
        <f>HYPERLINK("http://gocook.dk/gocook-tv/film-20-mikkel-smager-paa-den-staerke-manzano-chili","Mikkel smager på den stærke Manzano-chili")</f>
        <v>Mikkel smager på den stærke Manzano-chili</v>
      </c>
      <c r="H289" s="19"/>
      <c r="I289" s="323" t="s">
        <v>216</v>
      </c>
      <c r="J289" s="364"/>
      <c r="K289" s="354"/>
      <c r="L289" s="337"/>
      <c r="M289" s="340"/>
      <c r="N289" s="358"/>
    </row>
    <row r="290" spans="1:14" ht="31.5" thickBot="1">
      <c r="A290" s="327"/>
      <c r="B290" s="318"/>
      <c r="C290" s="329"/>
      <c r="D290" s="327"/>
      <c r="E290" s="334"/>
      <c r="F290" s="35" t="s">
        <v>217</v>
      </c>
      <c r="G290" s="74" t="str">
        <f>HYPERLINK("http://gocook.dk/gocook-tv/film-11-mikkel-finde-citrongraes-og-ingefaer-til-karrypasta","Mikkel finder citrongræs og ingefær til karrypasta")</f>
        <v>Mikkel finder citrongræs og ingefær til karrypasta</v>
      </c>
      <c r="H290" s="19"/>
      <c r="I290" s="324"/>
      <c r="J290" s="366"/>
      <c r="K290" s="354"/>
      <c r="L290" s="338"/>
      <c r="M290" s="344"/>
      <c r="N290" s="359"/>
    </row>
    <row r="291" spans="1:14" ht="15.5">
      <c r="A291" s="327"/>
      <c r="B291" s="318"/>
      <c r="C291" s="329"/>
      <c r="D291" s="327"/>
      <c r="E291" s="334"/>
      <c r="F291" s="35" t="s">
        <v>218</v>
      </c>
      <c r="G291" s="28" t="str">
        <f>HYPERLINK("http://gocook.dk/gocook-tv/film-07-mikkel-paa-jagt-efter-peber","Mikkel på jagt efter peber")</f>
        <v>Mikkel på jagt efter peber</v>
      </c>
      <c r="H291" s="19"/>
      <c r="I291" s="324"/>
      <c r="J291" s="129"/>
      <c r="K291" s="355"/>
      <c r="L291" s="312"/>
      <c r="M291" s="341"/>
      <c r="N291" s="371"/>
    </row>
    <row r="292" spans="1:14" ht="16" thickBot="1">
      <c r="A292" s="327"/>
      <c r="B292" s="318"/>
      <c r="C292" s="329"/>
      <c r="D292" s="327"/>
      <c r="E292" s="334"/>
      <c r="F292" s="35" t="s">
        <v>219</v>
      </c>
      <c r="G292" s="28" t="str">
        <f>HYPERLINK("http://gocook.dk/kokkeskolen/ingefaer-skraelle","Ingefær, skrælle")</f>
        <v>Ingefær, skrælle</v>
      </c>
      <c r="H292" s="19"/>
      <c r="I292" s="324"/>
      <c r="J292" s="129"/>
      <c r="K292" s="356"/>
      <c r="L292" s="312"/>
      <c r="M292" s="342"/>
      <c r="N292" s="372"/>
    </row>
    <row r="293" spans="1:14" ht="15.75" customHeight="1">
      <c r="A293" s="327"/>
      <c r="B293" s="318"/>
      <c r="C293" s="329"/>
      <c r="D293" s="327"/>
      <c r="E293" s="334"/>
      <c r="F293" s="35" t="s">
        <v>220</v>
      </c>
      <c r="G293" s="75"/>
      <c r="H293" s="19"/>
      <c r="I293" s="324"/>
      <c r="J293" s="129"/>
      <c r="K293" s="353" t="s">
        <v>575</v>
      </c>
      <c r="L293" s="336" t="s">
        <v>595</v>
      </c>
      <c r="M293" s="295" t="s">
        <v>221</v>
      </c>
      <c r="N293" s="381">
        <v>1</v>
      </c>
    </row>
    <row r="294" spans="1:14" ht="15.5">
      <c r="A294" s="327"/>
      <c r="B294" s="318"/>
      <c r="C294" s="329"/>
      <c r="D294" s="327"/>
      <c r="E294" s="334"/>
      <c r="F294" s="35" t="s">
        <v>222</v>
      </c>
      <c r="G294" s="28" t="str">
        <f>HYPERLINK("http://gocook.dk/gocook-tv/film-16-mikkel-er-paa-jagt-efter-nelliker-og-kanel","Mikkel er på jagt efter nelliker og kanel")</f>
        <v>Mikkel er på jagt efter nelliker og kanel</v>
      </c>
      <c r="H294" s="19"/>
      <c r="I294" s="324"/>
      <c r="J294" s="129"/>
      <c r="K294" s="354"/>
      <c r="L294" s="337"/>
      <c r="M294" s="296"/>
      <c r="N294" s="372"/>
    </row>
    <row r="295" spans="1:14" ht="15.5">
      <c r="A295" s="327"/>
      <c r="B295" s="318"/>
      <c r="C295" s="329"/>
      <c r="D295" s="327"/>
      <c r="E295" s="334"/>
      <c r="F295" s="35" t="s">
        <v>223</v>
      </c>
      <c r="G295" s="75"/>
      <c r="H295" s="19"/>
      <c r="I295" s="324"/>
      <c r="J295" s="129"/>
      <c r="K295" s="354"/>
      <c r="L295" s="337"/>
      <c r="M295" s="296"/>
      <c r="N295" s="372"/>
    </row>
    <row r="296" spans="1:14" ht="16" thickBot="1">
      <c r="A296" s="327"/>
      <c r="B296" s="318"/>
      <c r="C296" s="329"/>
      <c r="D296" s="327"/>
      <c r="E296" s="334"/>
      <c r="F296" s="35" t="s">
        <v>224</v>
      </c>
      <c r="G296" s="28" t="str">
        <f>HYPERLINK("http://gocook.dk/kokkeskolen/chili-skaere-og-vurdere-styrke","Chili, skære og vurdere styrke")</f>
        <v>Chili, skære og vurdere styrke</v>
      </c>
      <c r="H296" s="19"/>
      <c r="I296" s="324"/>
      <c r="J296" s="129"/>
      <c r="K296" s="354"/>
      <c r="L296" s="337"/>
      <c r="M296" s="296"/>
      <c r="N296" s="372"/>
    </row>
    <row r="297" spans="1:14" ht="16" customHeight="1" thickBot="1">
      <c r="A297" s="327"/>
      <c r="B297" s="318"/>
      <c r="C297" s="329"/>
      <c r="D297" s="327"/>
      <c r="E297" s="335"/>
      <c r="F297" s="35" t="s">
        <v>226</v>
      </c>
      <c r="H297" s="19"/>
      <c r="I297" s="325"/>
      <c r="J297" s="129"/>
      <c r="K297" s="354"/>
      <c r="L297" s="337"/>
      <c r="M297" s="295" t="s">
        <v>225</v>
      </c>
      <c r="N297" s="372"/>
    </row>
    <row r="298" spans="1:14" ht="23.25" customHeight="1" thickTop="1" thickBot="1">
      <c r="A298" s="327"/>
      <c r="B298" s="318"/>
      <c r="C298" s="329"/>
      <c r="D298" s="327"/>
      <c r="E298" s="317" t="s">
        <v>104</v>
      </c>
      <c r="F298" s="40"/>
      <c r="G298" s="26"/>
      <c r="H298" s="54" t="str">
        <f>HYPERLINK("http://gocook.dk/gocookbook/soed-chilisovs","Sød chilisovs")</f>
        <v>Sød chilisovs</v>
      </c>
      <c r="I298" s="370" t="s">
        <v>43</v>
      </c>
      <c r="J298" s="134"/>
      <c r="K298" s="354"/>
      <c r="L298" s="338"/>
      <c r="M298" s="296"/>
      <c r="N298" s="382"/>
    </row>
    <row r="299" spans="1:14" ht="15.5">
      <c r="A299" s="327"/>
      <c r="B299" s="318"/>
      <c r="C299" s="329"/>
      <c r="D299" s="327"/>
      <c r="E299" s="318"/>
      <c r="F299" s="19"/>
      <c r="H299" s="61" t="str">
        <f>HYPERLINK("http://gocook.dk/gocookbook/bagte-kikaerter","Bagte kikærter")</f>
        <v>Bagte kikærter</v>
      </c>
      <c r="I299" s="351"/>
      <c r="J299" s="129"/>
      <c r="K299" s="355"/>
      <c r="L299" s="346"/>
      <c r="M299" s="307"/>
      <c r="N299" s="371"/>
    </row>
    <row r="300" spans="1:14" ht="15.5">
      <c r="A300" s="327"/>
      <c r="B300" s="318"/>
      <c r="C300" s="329"/>
      <c r="D300" s="327"/>
      <c r="E300" s="318"/>
      <c r="F300" s="19"/>
      <c r="H300" s="61" t="str">
        <f>HYPERLINK("http://gocook.dk/gocookbook/chili-con-carne","Chili con carne")</f>
        <v>Chili con carne</v>
      </c>
      <c r="I300" s="351"/>
      <c r="J300" s="129"/>
      <c r="K300" s="355"/>
      <c r="L300" s="346"/>
      <c r="M300" s="224"/>
      <c r="N300" s="372"/>
    </row>
    <row r="301" spans="1:14" ht="15.5">
      <c r="A301" s="327"/>
      <c r="B301" s="318"/>
      <c r="C301" s="329"/>
      <c r="D301" s="327"/>
      <c r="E301" s="318"/>
      <c r="F301" s="19"/>
      <c r="H301" s="61" t="str">
        <f>HYPERLINK("http://gocook.dk/gocookbook/boller-i-karry-med-aerter-og-ris","Boller i karry med ærter og ris")</f>
        <v>Boller i karry med ærter og ris</v>
      </c>
      <c r="I301" s="351"/>
      <c r="J301" s="129"/>
      <c r="K301" s="355"/>
      <c r="L301" s="346"/>
      <c r="M301" s="224"/>
      <c r="N301" s="372"/>
    </row>
    <row r="302" spans="1:14" ht="13" thickBot="1">
      <c r="A302" s="327"/>
      <c r="B302" s="319"/>
      <c r="C302" s="330"/>
      <c r="D302" s="327"/>
      <c r="E302" s="319"/>
      <c r="F302" s="19"/>
      <c r="H302" s="19"/>
      <c r="I302" s="352"/>
      <c r="J302" s="129"/>
      <c r="K302" s="356"/>
      <c r="L302" s="347"/>
      <c r="M302" s="277"/>
      <c r="N302" s="374"/>
    </row>
    <row r="303" spans="1:14" ht="16" customHeight="1" thickBot="1">
      <c r="A303" s="327"/>
      <c r="B303" s="331" t="s">
        <v>12</v>
      </c>
      <c r="C303" s="332" t="s">
        <v>559</v>
      </c>
      <c r="D303" s="327"/>
      <c r="E303" s="122"/>
      <c r="F303" s="31" t="s">
        <v>227</v>
      </c>
      <c r="G303" s="32"/>
      <c r="H303" s="76"/>
      <c r="I303" s="132"/>
      <c r="J303" s="132"/>
      <c r="K303" s="133"/>
      <c r="L303" s="133"/>
      <c r="M303" s="164"/>
      <c r="N303" s="175"/>
    </row>
    <row r="304" spans="1:14" ht="17.25" customHeight="1" thickTop="1" thickBot="1">
      <c r="A304" s="327"/>
      <c r="B304" s="318"/>
      <c r="C304" s="329"/>
      <c r="D304" s="327"/>
      <c r="E304" s="333" t="s">
        <v>228</v>
      </c>
      <c r="F304" s="17" t="s">
        <v>229</v>
      </c>
      <c r="H304" s="30"/>
      <c r="I304" s="350" t="s">
        <v>231</v>
      </c>
      <c r="J304" s="363" t="s">
        <v>230</v>
      </c>
      <c r="K304" s="353" t="s">
        <v>573</v>
      </c>
      <c r="L304" s="336" t="s">
        <v>596</v>
      </c>
      <c r="M304" s="339" t="s">
        <v>232</v>
      </c>
      <c r="N304" s="357">
        <v>1</v>
      </c>
    </row>
    <row r="305" spans="1:14" ht="24.75" customHeight="1" thickTop="1">
      <c r="A305" s="327"/>
      <c r="B305" s="318"/>
      <c r="C305" s="329"/>
      <c r="D305" s="327"/>
      <c r="E305" s="334"/>
      <c r="F305" s="16" t="s">
        <v>233</v>
      </c>
      <c r="G305" s="50" t="str">
        <f>HYPERLINK("http://gocook.dk/gocook-tv/film-02-halloweenfilmen","Halloweenfilmen")</f>
        <v>Halloweenfilmen</v>
      </c>
      <c r="H305" s="19"/>
      <c r="I305" s="351"/>
      <c r="J305" s="364"/>
      <c r="K305" s="354"/>
      <c r="L305" s="337"/>
      <c r="M305" s="340"/>
      <c r="N305" s="358"/>
    </row>
    <row r="306" spans="1:14" ht="15.5">
      <c r="A306" s="327"/>
      <c r="B306" s="318"/>
      <c r="C306" s="329"/>
      <c r="D306" s="327"/>
      <c r="E306" s="334"/>
      <c r="F306" s="16" t="s">
        <v>234</v>
      </c>
      <c r="G306" s="50" t="str">
        <f>HYPERLINK("http://gocook.dk/gocook-tv/film-03-graeskarchallenge","Græskarchallenge")</f>
        <v>Græskarchallenge</v>
      </c>
      <c r="H306" s="19"/>
      <c r="I306" s="350" t="s">
        <v>235</v>
      </c>
      <c r="J306" s="364"/>
      <c r="K306" s="354"/>
      <c r="L306" s="337"/>
      <c r="M306" s="340"/>
      <c r="N306" s="358"/>
    </row>
    <row r="307" spans="1:14" ht="15.5">
      <c r="A307" s="327"/>
      <c r="B307" s="318"/>
      <c r="C307" s="329"/>
      <c r="D307" s="327"/>
      <c r="E307" s="334"/>
      <c r="F307" s="16" t="s">
        <v>236</v>
      </c>
      <c r="G307" s="50" t="str">
        <f>HYPERLINK("http://gocook.dk/gocook-tv/film-04-sissel-og-laurits-dyrker-graeskar","Sissel og Laurits dyrker græskar")</f>
        <v>Sissel og Laurits dyrker græskar</v>
      </c>
      <c r="H307" s="19"/>
      <c r="I307" s="351"/>
      <c r="J307" s="365" t="s">
        <v>237</v>
      </c>
      <c r="K307" s="354"/>
      <c r="L307" s="337"/>
      <c r="M307" s="340"/>
      <c r="N307" s="358"/>
    </row>
    <row r="308" spans="1:14" ht="17.5" customHeight="1">
      <c r="A308" s="327"/>
      <c r="B308" s="318"/>
      <c r="C308" s="329"/>
      <c r="D308" s="327"/>
      <c r="E308" s="334"/>
      <c r="F308" s="16" t="s">
        <v>238</v>
      </c>
      <c r="G308" s="50" t="str">
        <f>HYPERLINK("http://gocook.dk/kokkeskolen/graeskar-skrabe-froe-ud-af","Græskar, skrabe frø ud af")</f>
        <v>Græskar, skrabe frø ud af</v>
      </c>
      <c r="H308" s="19"/>
      <c r="I308" s="352"/>
      <c r="J308" s="364"/>
      <c r="K308" s="354"/>
      <c r="L308" s="337"/>
      <c r="M308" s="340"/>
      <c r="N308" s="358"/>
    </row>
    <row r="309" spans="1:14" ht="15.5">
      <c r="A309" s="327"/>
      <c r="B309" s="318"/>
      <c r="C309" s="329"/>
      <c r="D309" s="327"/>
      <c r="E309" s="334"/>
      <c r="F309" s="16" t="s">
        <v>239</v>
      </c>
      <c r="H309" s="19"/>
      <c r="I309" s="136"/>
      <c r="J309" s="366"/>
      <c r="K309" s="354"/>
      <c r="L309" s="337"/>
      <c r="M309" s="340"/>
      <c r="N309" s="358"/>
    </row>
    <row r="310" spans="1:14" ht="15.5">
      <c r="A310" s="327"/>
      <c r="B310" s="318"/>
      <c r="C310" s="329"/>
      <c r="D310" s="327"/>
      <c r="E310" s="334"/>
      <c r="F310" s="16" t="s">
        <v>240</v>
      </c>
      <c r="G310" s="14"/>
      <c r="H310" s="19"/>
      <c r="I310" s="136"/>
      <c r="J310" s="129"/>
      <c r="K310" s="354"/>
      <c r="L310" s="337"/>
      <c r="M310" s="340"/>
      <c r="N310" s="358"/>
    </row>
    <row r="311" spans="1:14" ht="16" thickBot="1">
      <c r="A311" s="327"/>
      <c r="B311" s="318"/>
      <c r="C311" s="329"/>
      <c r="D311" s="327"/>
      <c r="E311" s="334"/>
      <c r="F311" s="16" t="s">
        <v>241</v>
      </c>
      <c r="H311" s="19"/>
      <c r="I311" s="136"/>
      <c r="J311" s="129"/>
      <c r="K311" s="380"/>
      <c r="L311" s="338"/>
      <c r="M311" s="344"/>
      <c r="N311" s="359"/>
    </row>
    <row r="312" spans="1:14" ht="15" customHeight="1">
      <c r="A312" s="327"/>
      <c r="B312" s="318"/>
      <c r="C312" s="329"/>
      <c r="D312" s="327"/>
      <c r="E312" s="334"/>
      <c r="F312" s="16" t="s">
        <v>242</v>
      </c>
      <c r="H312" s="19"/>
      <c r="I312" s="136"/>
      <c r="J312" s="129"/>
      <c r="K312" s="388" t="s">
        <v>577</v>
      </c>
      <c r="L312" s="336" t="s">
        <v>595</v>
      </c>
      <c r="M312" s="295" t="s">
        <v>221</v>
      </c>
      <c r="N312" s="381">
        <v>1</v>
      </c>
    </row>
    <row r="313" spans="1:14" ht="15.5">
      <c r="A313" s="327"/>
      <c r="B313" s="318"/>
      <c r="C313" s="329"/>
      <c r="D313" s="327"/>
      <c r="E313" s="334"/>
      <c r="F313" s="16" t="s">
        <v>243</v>
      </c>
      <c r="G313" s="50" t="str">
        <f>HYPERLINK("http://gocook.dk/gocook-tv/bagt-graeskar-med-koedsovs","Bagt græskar med kødsovs")</f>
        <v>Bagt græskar med kødsovs</v>
      </c>
      <c r="H313" s="19"/>
      <c r="I313" s="136"/>
      <c r="J313" s="129"/>
      <c r="K313" s="389"/>
      <c r="L313" s="337"/>
      <c r="M313" s="296"/>
      <c r="N313" s="372"/>
    </row>
    <row r="314" spans="1:14" ht="15.5">
      <c r="A314" s="327"/>
      <c r="B314" s="318"/>
      <c r="C314" s="329"/>
      <c r="D314" s="327"/>
      <c r="E314" s="334"/>
      <c r="F314" s="16" t="s">
        <v>244</v>
      </c>
      <c r="H314" s="19"/>
      <c r="I314" s="136"/>
      <c r="J314" s="129"/>
      <c r="K314" s="389"/>
      <c r="L314" s="337"/>
      <c r="M314" s="296"/>
      <c r="N314" s="372"/>
    </row>
    <row r="315" spans="1:14" ht="31.5" thickBot="1">
      <c r="A315" s="327"/>
      <c r="B315" s="318"/>
      <c r="C315" s="329"/>
      <c r="D315" s="327"/>
      <c r="E315" s="335"/>
      <c r="F315" s="16"/>
      <c r="G315" s="73" t="str">
        <f>HYPERLINK("http://gocook.dk/gocook-tv/gorm-og-micki-laver-gebiskager-til-halloween","Gorm og Micki laver gebiskager til halloween")</f>
        <v>Gorm og Micki laver gebiskager til halloween</v>
      </c>
      <c r="H315" s="19"/>
      <c r="I315" s="136"/>
      <c r="J315" s="129"/>
      <c r="K315" s="389"/>
      <c r="L315" s="337"/>
      <c r="M315" s="296"/>
      <c r="N315" s="372"/>
    </row>
    <row r="316" spans="1:14" ht="16" customHeight="1" thickTop="1">
      <c r="A316" s="327"/>
      <c r="B316" s="318"/>
      <c r="C316" s="329"/>
      <c r="D316" s="327"/>
      <c r="E316" s="317" t="s">
        <v>245</v>
      </c>
      <c r="F316" s="40"/>
      <c r="G316" s="26"/>
      <c r="H316" s="54" t="str">
        <f>HYPERLINK("http://gocook.dk/gocookbook/risotto-med-graeskar","Risotto med græskar")</f>
        <v>Risotto med græskar</v>
      </c>
      <c r="I316" s="298" t="s">
        <v>43</v>
      </c>
      <c r="J316" s="134"/>
      <c r="K316" s="221"/>
      <c r="L316" s="337"/>
      <c r="M316" s="295" t="s">
        <v>225</v>
      </c>
      <c r="N316" s="372"/>
    </row>
    <row r="317" spans="1:14" ht="16" thickBot="1">
      <c r="A317" s="327"/>
      <c r="B317" s="318"/>
      <c r="C317" s="329"/>
      <c r="D317" s="327"/>
      <c r="E317" s="318"/>
      <c r="F317" s="19"/>
      <c r="H317" s="61" t="str">
        <f>HYPERLINK("http://gocook.dk/gocookbook/spicy-graeskarsuppe","Spicy græskarsuppe")</f>
        <v>Spicy græskarsuppe</v>
      </c>
      <c r="I317" s="299"/>
      <c r="J317" s="129"/>
      <c r="K317" s="221"/>
      <c r="L317" s="338"/>
      <c r="M317" s="296"/>
      <c r="N317" s="382"/>
    </row>
    <row r="318" spans="1:14" ht="15.5">
      <c r="A318" s="327"/>
      <c r="B318" s="318"/>
      <c r="C318" s="329"/>
      <c r="D318" s="327"/>
      <c r="E318" s="318"/>
      <c r="F318" s="19"/>
      <c r="H318" s="61" t="str">
        <f>HYPERLINK("http://gocook.dk/gocookbook/graeskarboller","Græskarboller")</f>
        <v>Græskarboller</v>
      </c>
      <c r="I318" s="299"/>
      <c r="J318" s="129"/>
      <c r="K318" s="222"/>
      <c r="L318" s="226"/>
      <c r="M318" s="296"/>
      <c r="N318" s="268"/>
    </row>
    <row r="319" spans="1:14" ht="15.5">
      <c r="A319" s="327"/>
      <c r="B319" s="318"/>
      <c r="C319" s="329"/>
      <c r="D319" s="327"/>
      <c r="E319" s="318"/>
      <c r="F319" s="19"/>
      <c r="H319" s="195" t="str">
        <f>HYPERLINK("http://gocook.dk/gocookbook/graeskartaerte","Græskartærte")</f>
        <v>Græskartærte</v>
      </c>
      <c r="I319" s="299"/>
      <c r="J319" s="129"/>
      <c r="K319" s="222"/>
      <c r="L319" s="226"/>
      <c r="M319" s="307"/>
      <c r="N319" s="225"/>
    </row>
    <row r="320" spans="1:14" ht="15.5">
      <c r="A320" s="327"/>
      <c r="B320" s="318"/>
      <c r="C320" s="329"/>
      <c r="D320" s="327"/>
      <c r="E320" s="318"/>
      <c r="F320" s="19"/>
      <c r="H320" s="61" t="str">
        <f>HYPERLINK("http://gocook.dk/gocookbook/halloweenkage","Halloweenkage")</f>
        <v>Halloweenkage</v>
      </c>
      <c r="I320" s="299"/>
      <c r="J320" s="129"/>
      <c r="K320" s="222"/>
      <c r="L320" s="226"/>
      <c r="M320" s="224"/>
      <c r="N320" s="225"/>
    </row>
    <row r="321" spans="1:14" ht="15.5">
      <c r="A321" s="327"/>
      <c r="B321" s="318"/>
      <c r="C321" s="329"/>
      <c r="D321" s="327"/>
      <c r="E321" s="318"/>
      <c r="F321" s="19"/>
      <c r="H321" s="61" t="str">
        <f>HYPERLINK("http://gocook.dk/gocookbook/hjernemuffins","Hjernemuffins")</f>
        <v>Hjernemuffins</v>
      </c>
      <c r="I321" s="299"/>
      <c r="J321" s="129"/>
      <c r="K321" s="222"/>
      <c r="L321" s="226"/>
      <c r="M321" s="224"/>
      <c r="N321" s="225"/>
    </row>
    <row r="322" spans="1:14" ht="15.5">
      <c r="A322" s="327"/>
      <c r="B322" s="318"/>
      <c r="C322" s="329"/>
      <c r="D322" s="327"/>
      <c r="E322" s="318"/>
      <c r="F322" s="19"/>
      <c r="H322" s="61" t="str">
        <f>HYPERLINK("http://gocook.dk/gocookbook/kakaoslim-0","Kakaoslim")</f>
        <v>Kakaoslim</v>
      </c>
      <c r="I322" s="220"/>
      <c r="J322" s="129"/>
      <c r="K322" s="222"/>
      <c r="L322" s="226"/>
      <c r="N322" s="225"/>
    </row>
    <row r="323" spans="1:14" ht="15.5">
      <c r="A323" s="327"/>
      <c r="B323" s="318"/>
      <c r="C323" s="329"/>
      <c r="D323" s="327"/>
      <c r="E323" s="318"/>
      <c r="F323" s="19"/>
      <c r="H323" s="61" t="str">
        <f>HYPERLINK("http://gocook.dk/gocookbook/zombie-fingre","Zombie-fingre")</f>
        <v>Zombie-fingre</v>
      </c>
      <c r="I323" s="220"/>
      <c r="J323" s="129"/>
      <c r="K323" s="222"/>
      <c r="L323" s="226"/>
      <c r="M323" s="224"/>
      <c r="N323" s="225"/>
    </row>
    <row r="324" spans="1:14" s="207" customFormat="1" ht="16" thickBot="1">
      <c r="A324" s="327"/>
      <c r="B324" s="318"/>
      <c r="C324" s="329"/>
      <c r="D324" s="327"/>
      <c r="E324" s="318"/>
      <c r="F324" s="19"/>
      <c r="H324" s="61" t="str">
        <f>HYPERLINK("http://gocook.dk/gocookbook/oejen-troefler","Øjen-trøfler")</f>
        <v>Øjen-trøfler</v>
      </c>
      <c r="I324" s="220"/>
      <c r="J324" s="129"/>
      <c r="K324" s="222"/>
      <c r="L324" s="226"/>
      <c r="M324" s="224"/>
      <c r="N324" s="225"/>
    </row>
    <row r="325" spans="1:14" ht="17.25" customHeight="1" thickTop="1" thickBot="1">
      <c r="A325" s="326" t="s">
        <v>246</v>
      </c>
      <c r="B325" s="414" t="s">
        <v>12</v>
      </c>
      <c r="C325" s="425" t="s">
        <v>559</v>
      </c>
      <c r="D325" s="326" t="s">
        <v>247</v>
      </c>
      <c r="E325" s="123"/>
      <c r="F325" s="56" t="s">
        <v>248</v>
      </c>
      <c r="G325" s="57"/>
      <c r="H325" s="58"/>
      <c r="I325" s="146"/>
      <c r="J325" s="139"/>
      <c r="K325" s="140"/>
      <c r="L325" s="140"/>
      <c r="M325" s="165"/>
      <c r="N325" s="176"/>
    </row>
    <row r="326" spans="1:14" ht="17.25" customHeight="1" thickTop="1" thickBot="1">
      <c r="A326" s="327"/>
      <c r="B326" s="415"/>
      <c r="C326" s="418"/>
      <c r="D326" s="327"/>
      <c r="E326" s="430" t="s">
        <v>15</v>
      </c>
      <c r="F326" s="94" t="s">
        <v>563</v>
      </c>
      <c r="G326" s="50" t="str">
        <f>HYPERLINK("http://gocook.dk/kokkeskolen/bagvaerk-slaa-broed-og-boller-op","Bagværk, slå brød og boller op")</f>
        <v>Bagværk, slå brød og boller op</v>
      </c>
      <c r="H326" s="19"/>
      <c r="I326" s="303" t="s">
        <v>250</v>
      </c>
      <c r="J326" s="300" t="s">
        <v>249</v>
      </c>
      <c r="K326" s="353" t="s">
        <v>575</v>
      </c>
      <c r="L326" s="336" t="s">
        <v>593</v>
      </c>
      <c r="M326" s="339" t="s">
        <v>251</v>
      </c>
      <c r="N326" s="381">
        <v>2</v>
      </c>
    </row>
    <row r="327" spans="1:14" ht="16" thickTop="1">
      <c r="A327" s="327"/>
      <c r="B327" s="415"/>
      <c r="C327" s="418"/>
      <c r="D327" s="327"/>
      <c r="E327" s="415"/>
      <c r="F327" s="35" t="s">
        <v>252</v>
      </c>
      <c r="G327" s="50" t="str">
        <f>HYPERLINK("http://gocook.dk/kokkeskolen/bagvaerk-vurder-om-det-er-gennembagt","Bagværk, vurder om det er gennembagt")</f>
        <v>Bagværk, vurder om det er gennembagt</v>
      </c>
      <c r="H327" s="19"/>
      <c r="I327" s="299"/>
      <c r="J327" s="301"/>
      <c r="K327" s="354"/>
      <c r="L327" s="337"/>
      <c r="M327" s="340"/>
      <c r="N327" s="372"/>
    </row>
    <row r="328" spans="1:14" ht="15.5">
      <c r="A328" s="327"/>
      <c r="B328" s="415"/>
      <c r="C328" s="418"/>
      <c r="D328" s="327"/>
      <c r="E328" s="415"/>
      <c r="F328" s="35" t="s">
        <v>253</v>
      </c>
      <c r="G328" s="50" t="str">
        <f>HYPERLINK("http://gocook.dk/kokkeskolen/dej-langtidshaevet","Dej, langtidshævet")</f>
        <v>Dej, langtidshævet</v>
      </c>
      <c r="H328" s="19"/>
      <c r="I328" s="299"/>
      <c r="J328" s="387"/>
      <c r="K328" s="354"/>
      <c r="L328" s="337"/>
      <c r="M328" s="340"/>
      <c r="N328" s="372"/>
    </row>
    <row r="329" spans="1:14" ht="15.5" customHeight="1">
      <c r="A329" s="327"/>
      <c r="B329" s="415"/>
      <c r="C329" s="418"/>
      <c r="D329" s="327"/>
      <c r="E329" s="415"/>
      <c r="F329" s="19"/>
      <c r="G329" s="50" t="str">
        <f>HYPERLINK("http://gocook.dk/kokkeskolen/dej-aelte","Dej, ælte")</f>
        <v>Dej, ælte</v>
      </c>
      <c r="H329" s="19"/>
      <c r="I329" s="299"/>
      <c r="J329" s="300" t="s">
        <v>254</v>
      </c>
      <c r="K329" s="354"/>
      <c r="L329" s="337"/>
      <c r="M329" s="348" t="s">
        <v>255</v>
      </c>
      <c r="N329" s="372"/>
    </row>
    <row r="330" spans="1:14" ht="15.5">
      <c r="A330" s="327"/>
      <c r="B330" s="415"/>
      <c r="C330" s="418"/>
      <c r="D330" s="327"/>
      <c r="E330" s="415"/>
      <c r="F330" s="19"/>
      <c r="G330" s="50" t="str">
        <f>HYPERLINK("http://gocook.dk/kokkeskolen/gaerdej","Gærdej")</f>
        <v>Gærdej</v>
      </c>
      <c r="H330" s="19"/>
      <c r="I330" s="299"/>
      <c r="J330" s="301"/>
      <c r="K330" s="354"/>
      <c r="L330" s="337"/>
      <c r="M330" s="340"/>
      <c r="N330" s="372"/>
    </row>
    <row r="331" spans="1:14" ht="15.5">
      <c r="A331" s="327"/>
      <c r="B331" s="415"/>
      <c r="C331" s="418"/>
      <c r="D331" s="327"/>
      <c r="E331" s="415"/>
      <c r="F331" s="19"/>
      <c r="G331" s="50" t="str">
        <f>HYPERLINK("http://gocook.dk/kokkeskolen/moerdej","Mørdej")</f>
        <v>Mørdej</v>
      </c>
      <c r="H331" s="19"/>
      <c r="I331" s="299"/>
      <c r="J331" s="301"/>
      <c r="K331" s="354"/>
      <c r="L331" s="337"/>
      <c r="M331" s="340"/>
      <c r="N331" s="372"/>
    </row>
    <row r="332" spans="1:14" ht="16" thickBot="1">
      <c r="A332" s="327"/>
      <c r="B332" s="415"/>
      <c r="C332" s="418"/>
      <c r="D332" s="327"/>
      <c r="E332" s="415"/>
      <c r="F332" s="20"/>
      <c r="G332" s="28" t="str">
        <f>HYPERLINK("http://gocook.dk/kokkeskolen/pisket-dej-aeggesnaps","Pisket dej, æggesnaps")</f>
        <v>Pisket dej, æggesnaps</v>
      </c>
      <c r="H332" s="19"/>
      <c r="I332" s="299"/>
      <c r="J332" s="302"/>
      <c r="K332" s="354"/>
      <c r="L332" s="337"/>
      <c r="M332" s="344"/>
      <c r="N332" s="382"/>
    </row>
    <row r="333" spans="1:14" ht="16" thickTop="1">
      <c r="A333" s="327"/>
      <c r="B333" s="415"/>
      <c r="C333" s="418"/>
      <c r="D333" s="327"/>
      <c r="E333" s="415"/>
      <c r="F333" s="19"/>
      <c r="G333" s="50" t="str">
        <f>HYPERLINK("http://gocook.dk/kokkeskolen/pisket-dej-sigte-mel","Pisket dej, sigte mel")</f>
        <v>Pisket dej, sigte mel</v>
      </c>
      <c r="H333" s="19"/>
      <c r="I333" s="136"/>
      <c r="J333" s="129"/>
      <c r="K333" s="354"/>
      <c r="L333" s="345" t="s">
        <v>597</v>
      </c>
      <c r="M333" s="339" t="s">
        <v>256</v>
      </c>
      <c r="N333" s="381">
        <v>1</v>
      </c>
    </row>
    <row r="334" spans="1:14" ht="16" thickBot="1">
      <c r="A334" s="327"/>
      <c r="B334" s="415"/>
      <c r="C334" s="418"/>
      <c r="D334" s="327"/>
      <c r="E334" s="415"/>
      <c r="F334" s="19"/>
      <c r="G334" s="50" t="str">
        <f>HYPERLINK("http://gocook.dk/kokkeskolen/kage-vurder-om-den-er-bagt","Kage, vurder om den er bagt")</f>
        <v>Kage, vurder om den er bagt</v>
      </c>
      <c r="H334" s="19"/>
      <c r="I334" s="136"/>
      <c r="J334" s="129"/>
      <c r="K334" s="354"/>
      <c r="L334" s="337"/>
      <c r="M334" s="340"/>
      <c r="N334" s="372"/>
    </row>
    <row r="335" spans="1:14" ht="32.25" customHeight="1" thickTop="1">
      <c r="A335" s="327"/>
      <c r="B335" s="415"/>
      <c r="C335" s="418"/>
      <c r="D335" s="327"/>
      <c r="E335" s="414" t="s">
        <v>245</v>
      </c>
      <c r="F335" s="40"/>
      <c r="G335" s="26"/>
      <c r="H335" s="54" t="str">
        <f>HYPERLINK("http://gocook.dk/gocookbook/rugsurdej","Rugsurdej ")</f>
        <v xml:space="preserve">Rugsurdej </v>
      </c>
      <c r="I335" s="370" t="s">
        <v>43</v>
      </c>
      <c r="J335" s="134"/>
      <c r="K335" s="354"/>
      <c r="L335" s="337"/>
      <c r="M335" s="340"/>
      <c r="N335" s="372"/>
    </row>
    <row r="336" spans="1:14" ht="15.5">
      <c r="A336" s="327"/>
      <c r="B336" s="415"/>
      <c r="C336" s="418"/>
      <c r="D336" s="327"/>
      <c r="E336" s="415"/>
      <c r="F336" s="19"/>
      <c r="H336" s="195" t="str">
        <f>HYPERLINK("http://gocook.dk/gocookbook/rugbroed-med-sudej","Rugbrød med sudej")</f>
        <v>Rugbrød med sudej</v>
      </c>
      <c r="I336" s="351"/>
      <c r="J336" s="129"/>
      <c r="K336" s="354"/>
      <c r="L336" s="337"/>
      <c r="M336" s="348" t="s">
        <v>257</v>
      </c>
      <c r="N336" s="372"/>
    </row>
    <row r="337" spans="1:14" ht="15.5">
      <c r="A337" s="327"/>
      <c r="B337" s="415"/>
      <c r="C337" s="418"/>
      <c r="D337" s="327"/>
      <c r="E337" s="415"/>
      <c r="F337" s="19"/>
      <c r="H337" s="61" t="str">
        <f>HYPERLINK("http://gocook.dk/gocookbook/banan-chokolademuffins","Bananchokolademuffins")</f>
        <v>Bananchokolademuffins</v>
      </c>
      <c r="I337" s="351"/>
      <c r="J337" s="129"/>
      <c r="K337" s="354"/>
      <c r="L337" s="337"/>
      <c r="M337" s="340"/>
      <c r="N337" s="372"/>
    </row>
    <row r="338" spans="1:14" ht="27.75" customHeight="1" thickBot="1">
      <c r="A338" s="327"/>
      <c r="B338" s="415"/>
      <c r="C338" s="418"/>
      <c r="D338" s="327"/>
      <c r="E338" s="415"/>
      <c r="F338" s="19"/>
      <c r="H338" s="61" t="str">
        <f>HYPERLINK("http://gocook.dk/gocookbook/aebleboller","Æbleboller")</f>
        <v>Æbleboller</v>
      </c>
      <c r="I338" s="351"/>
      <c r="J338" s="129"/>
      <c r="K338" s="354"/>
      <c r="L338" s="338"/>
      <c r="M338" s="344"/>
      <c r="N338" s="382"/>
    </row>
    <row r="339" spans="1:14" ht="15.5">
      <c r="A339" s="327"/>
      <c r="B339" s="415"/>
      <c r="C339" s="418"/>
      <c r="D339" s="327"/>
      <c r="E339" s="415"/>
      <c r="F339" s="19"/>
      <c r="H339" s="61" t="str">
        <f>HYPERLINK("http://gocook.dk/gocookbook/marmorkage-0","Marmorkage")</f>
        <v>Marmorkage</v>
      </c>
      <c r="I339" s="351"/>
      <c r="J339" s="129"/>
      <c r="K339" s="355"/>
      <c r="L339" s="346"/>
      <c r="M339" s="383"/>
      <c r="N339" s="371"/>
    </row>
    <row r="340" spans="1:14" ht="15.5">
      <c r="A340" s="327"/>
      <c r="B340" s="415"/>
      <c r="C340" s="418"/>
      <c r="D340" s="327"/>
      <c r="E340" s="415"/>
      <c r="F340" s="19"/>
      <c r="H340" s="61" t="str">
        <f>HYPERLINK("http://gocook.dk/gocookbook/nemt-rugbroed","Nemt rugbrød")</f>
        <v>Nemt rugbrød</v>
      </c>
      <c r="I340" s="351"/>
      <c r="J340" s="129"/>
      <c r="K340" s="355"/>
      <c r="L340" s="346"/>
      <c r="M340" s="342"/>
      <c r="N340" s="372"/>
    </row>
    <row r="341" spans="1:14" ht="16" thickBot="1">
      <c r="A341" s="327"/>
      <c r="B341" s="415"/>
      <c r="C341" s="419"/>
      <c r="D341" s="327"/>
      <c r="E341" s="415"/>
      <c r="F341" s="19"/>
      <c r="H341" s="61" t="str">
        <f>HYPERLINK("http://gocook.dk/gocookbook/luftige-boller","Luftige boller")</f>
        <v>Luftige boller</v>
      </c>
      <c r="I341" s="352"/>
      <c r="J341" s="129"/>
      <c r="K341" s="356"/>
      <c r="L341" s="347"/>
      <c r="M341" s="362"/>
      <c r="N341" s="374"/>
    </row>
    <row r="342" spans="1:14" ht="16" thickBot="1">
      <c r="A342" s="327"/>
      <c r="B342" s="416" t="s">
        <v>12</v>
      </c>
      <c r="C342" s="417" t="s">
        <v>559</v>
      </c>
      <c r="D342" s="327"/>
      <c r="E342" s="122"/>
      <c r="F342" s="31" t="s">
        <v>258</v>
      </c>
      <c r="G342" s="32"/>
      <c r="H342" s="42"/>
      <c r="I342" s="132"/>
      <c r="J342" s="132"/>
      <c r="K342" s="133"/>
      <c r="L342" s="133"/>
      <c r="M342" s="164"/>
      <c r="N342" s="175"/>
    </row>
    <row r="343" spans="1:14" ht="17.25" customHeight="1" thickTop="1" thickBot="1">
      <c r="A343" s="327"/>
      <c r="B343" s="415"/>
      <c r="C343" s="418"/>
      <c r="D343" s="327"/>
      <c r="E343" s="421" t="s">
        <v>15</v>
      </c>
      <c r="F343" s="94" t="s">
        <v>563</v>
      </c>
      <c r="H343" s="19"/>
      <c r="I343" s="350"/>
      <c r="J343" s="363" t="s">
        <v>259</v>
      </c>
      <c r="K343" s="353" t="s">
        <v>577</v>
      </c>
      <c r="L343" s="336" t="s">
        <v>593</v>
      </c>
      <c r="M343" s="339" t="s">
        <v>251</v>
      </c>
      <c r="N343" s="381">
        <v>2</v>
      </c>
    </row>
    <row r="344" spans="1:14" ht="16" thickTop="1">
      <c r="A344" s="327"/>
      <c r="B344" s="415"/>
      <c r="C344" s="418"/>
      <c r="D344" s="327"/>
      <c r="E344" s="422"/>
      <c r="F344" s="62" t="s">
        <v>260</v>
      </c>
      <c r="G344" s="28" t="str">
        <f>HYPERLINK("http://gocook.dk/gocook-tv/film-07-jan-fortaeller-om-korn-dyrkning","Jan fortæller om korn-dyrkning")</f>
        <v>Jan fortæller om korn-dyrkning</v>
      </c>
      <c r="H344" s="19"/>
      <c r="I344" s="351"/>
      <c r="J344" s="364"/>
      <c r="K344" s="354"/>
      <c r="L344" s="337"/>
      <c r="M344" s="340"/>
      <c r="N344" s="372"/>
    </row>
    <row r="345" spans="1:14" ht="33" customHeight="1">
      <c r="A345" s="327"/>
      <c r="B345" s="415"/>
      <c r="C345" s="418"/>
      <c r="D345" s="327"/>
      <c r="E345" s="422"/>
      <c r="F345" s="43" t="s">
        <v>261</v>
      </c>
      <c r="G345" s="50" t="str">
        <f>HYPERLINK("http://gocook.dk/gocook-tv/film-06-marie-louise-fortaeller-om-korn-og-perler","Marie-Louise fortæller om korn og perler")</f>
        <v>Marie-Louise fortæller om korn og perler</v>
      </c>
      <c r="H345" s="19"/>
      <c r="I345" s="351"/>
      <c r="J345" s="365" t="s">
        <v>262</v>
      </c>
      <c r="K345" s="354"/>
      <c r="L345" s="337"/>
      <c r="M345" s="340"/>
      <c r="N345" s="372"/>
    </row>
    <row r="346" spans="1:14" ht="15.5">
      <c r="A346" s="327"/>
      <c r="B346" s="415"/>
      <c r="C346" s="418"/>
      <c r="D346" s="327"/>
      <c r="E346" s="422"/>
      <c r="F346" s="43" t="s">
        <v>263</v>
      </c>
      <c r="H346" s="19"/>
      <c r="I346" s="215"/>
      <c r="J346" s="366"/>
      <c r="K346" s="354"/>
      <c r="L346" s="337"/>
      <c r="M346" s="348" t="s">
        <v>255</v>
      </c>
      <c r="N346" s="372"/>
    </row>
    <row r="347" spans="1:14" ht="15.5">
      <c r="A347" s="327"/>
      <c r="B347" s="415"/>
      <c r="C347" s="418"/>
      <c r="D347" s="327"/>
      <c r="E347" s="422"/>
      <c r="F347" s="43" t="s">
        <v>252</v>
      </c>
      <c r="G347" s="50" t="str">
        <f>HYPERLINK("http://gocook.dk/kokkeskolen/bagvaerk-slaa-broed-og-boller-op","Bagværk slå brød og boller op")</f>
        <v>Bagværk slå brød og boller op</v>
      </c>
      <c r="H347" s="19"/>
      <c r="I347" s="136"/>
      <c r="J347" s="129"/>
      <c r="K347" s="354"/>
      <c r="L347" s="337"/>
      <c r="M347" s="340"/>
      <c r="N347" s="372"/>
    </row>
    <row r="348" spans="1:14" ht="15.5">
      <c r="A348" s="327"/>
      <c r="B348" s="415"/>
      <c r="C348" s="418"/>
      <c r="D348" s="327"/>
      <c r="E348" s="422"/>
      <c r="F348" s="43" t="s">
        <v>253</v>
      </c>
      <c r="H348" s="19"/>
      <c r="I348" s="136"/>
      <c r="J348" s="129"/>
      <c r="K348" s="354"/>
      <c r="L348" s="337"/>
      <c r="M348" s="340"/>
      <c r="N348" s="372"/>
    </row>
    <row r="349" spans="1:14" ht="16" thickBot="1">
      <c r="A349" s="327"/>
      <c r="B349" s="415"/>
      <c r="C349" s="418"/>
      <c r="D349" s="327"/>
      <c r="E349" s="422"/>
      <c r="F349" s="43" t="s">
        <v>264</v>
      </c>
      <c r="H349" s="19"/>
      <c r="I349" s="136"/>
      <c r="J349" s="129"/>
      <c r="K349" s="354"/>
      <c r="L349" s="338"/>
      <c r="M349" s="344"/>
      <c r="N349" s="382"/>
    </row>
    <row r="350" spans="1:14" ht="16" thickBot="1">
      <c r="A350" s="327"/>
      <c r="B350" s="415"/>
      <c r="C350" s="418"/>
      <c r="D350" s="327"/>
      <c r="E350" s="422"/>
      <c r="F350" s="43" t="s">
        <v>265</v>
      </c>
      <c r="H350" s="19"/>
      <c r="I350" s="136"/>
      <c r="J350" s="129"/>
      <c r="K350" s="355"/>
      <c r="L350" s="346"/>
      <c r="M350" s="341"/>
      <c r="N350" s="360"/>
    </row>
    <row r="351" spans="1:14" ht="16.5" thickTop="1" thickBot="1">
      <c r="A351" s="327"/>
      <c r="B351" s="415"/>
      <c r="C351" s="418"/>
      <c r="D351" s="327"/>
      <c r="E351" s="422"/>
      <c r="F351" s="17" t="s">
        <v>25</v>
      </c>
      <c r="H351" s="19"/>
      <c r="I351" s="136"/>
      <c r="J351" s="129"/>
      <c r="K351" s="355"/>
      <c r="L351" s="346"/>
      <c r="M351" s="342"/>
      <c r="N351" s="358"/>
    </row>
    <row r="352" spans="1:14" ht="16.5" thickTop="1" thickBot="1">
      <c r="A352" s="327"/>
      <c r="B352" s="415"/>
      <c r="C352" s="418"/>
      <c r="D352" s="327"/>
      <c r="E352" s="422"/>
      <c r="F352" s="43" t="s">
        <v>266</v>
      </c>
      <c r="H352" s="19"/>
      <c r="I352" s="136"/>
      <c r="J352" s="129"/>
      <c r="K352" s="355"/>
      <c r="L352" s="346"/>
      <c r="M352" s="342"/>
      <c r="N352" s="358"/>
    </row>
    <row r="353" spans="1:14" ht="16" thickTop="1">
      <c r="A353" s="327"/>
      <c r="B353" s="415"/>
      <c r="C353" s="418"/>
      <c r="D353" s="327"/>
      <c r="E353" s="428" t="s">
        <v>28</v>
      </c>
      <c r="F353" s="40"/>
      <c r="G353" s="26"/>
      <c r="H353" s="194" t="str">
        <f>HYPERLINK("http://gocook.dk/gocookbook/sigtebroed","Sigtebrød")</f>
        <v>Sigtebrød</v>
      </c>
      <c r="I353" s="370" t="s">
        <v>43</v>
      </c>
      <c r="J353" s="134"/>
      <c r="K353" s="355"/>
      <c r="L353" s="346"/>
      <c r="M353" s="342"/>
      <c r="N353" s="358"/>
    </row>
    <row r="354" spans="1:14" ht="15.5">
      <c r="A354" s="327"/>
      <c r="B354" s="415"/>
      <c r="C354" s="418"/>
      <c r="D354" s="327"/>
      <c r="E354" s="422"/>
      <c r="F354" s="19"/>
      <c r="H354" s="195" t="str">
        <f>HYPERLINK("http://gocook.dk/gocookbook/grovflutes","Grovflutes")</f>
        <v>Grovflutes</v>
      </c>
      <c r="I354" s="351"/>
      <c r="J354" s="129"/>
      <c r="K354" s="355"/>
      <c r="L354" s="346"/>
      <c r="M354" s="342"/>
      <c r="N354" s="358"/>
    </row>
    <row r="355" spans="1:14" ht="15.5">
      <c r="A355" s="327"/>
      <c r="B355" s="415"/>
      <c r="C355" s="418"/>
      <c r="D355" s="327"/>
      <c r="E355" s="422"/>
      <c r="F355" s="19"/>
      <c r="H355" s="61" t="str">
        <f>HYPERLINK("http://gocook.dk/gocookbook/foedselsdagsboller","Fødselsdagsboller")</f>
        <v>Fødselsdagsboller</v>
      </c>
      <c r="I355" s="351"/>
      <c r="J355" s="129"/>
      <c r="K355" s="355"/>
      <c r="L355" s="346"/>
      <c r="M355" s="342"/>
      <c r="N355" s="358"/>
    </row>
    <row r="356" spans="1:14" ht="12.5">
      <c r="A356" s="327"/>
      <c r="B356" s="415"/>
      <c r="C356" s="418"/>
      <c r="D356" s="327"/>
      <c r="E356" s="422"/>
      <c r="F356" s="19"/>
      <c r="H356" s="19"/>
      <c r="I356" s="351"/>
      <c r="J356" s="129"/>
      <c r="K356" s="355"/>
      <c r="L356" s="346"/>
      <c r="M356" s="342"/>
      <c r="N356" s="358"/>
    </row>
    <row r="357" spans="1:14" ht="13" thickBot="1">
      <c r="A357" s="327"/>
      <c r="B357" s="415"/>
      <c r="C357" s="419"/>
      <c r="D357" s="327"/>
      <c r="E357" s="422"/>
      <c r="F357" s="19"/>
      <c r="H357" s="19"/>
      <c r="I357" s="352"/>
      <c r="J357" s="129"/>
      <c r="K357" s="356"/>
      <c r="L357" s="347"/>
      <c r="M357" s="362"/>
      <c r="N357" s="377"/>
    </row>
    <row r="358" spans="1:14" ht="16" thickBot="1">
      <c r="A358" s="327"/>
      <c r="B358" s="416" t="s">
        <v>12</v>
      </c>
      <c r="C358" s="417" t="s">
        <v>560</v>
      </c>
      <c r="D358" s="327"/>
      <c r="E358" s="122"/>
      <c r="F358" s="31" t="s">
        <v>267</v>
      </c>
      <c r="G358" s="32"/>
      <c r="H358" s="42"/>
      <c r="I358" s="132"/>
      <c r="J358" s="132"/>
      <c r="K358" s="133"/>
      <c r="L358" s="133"/>
      <c r="M358" s="164"/>
      <c r="N358" s="175"/>
    </row>
    <row r="359" spans="1:14" ht="17.25" customHeight="1" thickTop="1" thickBot="1">
      <c r="A359" s="327"/>
      <c r="B359" s="415"/>
      <c r="C359" s="418"/>
      <c r="D359" s="327"/>
      <c r="E359" s="434" t="s">
        <v>15</v>
      </c>
      <c r="F359" s="94" t="s">
        <v>563</v>
      </c>
      <c r="G359" s="71" t="str">
        <f>HYPERLINK("http://gocook.dk/kokkeskolen/aeg-dele-i-hvide-og-blomme","Æg, dele i hvide og blomme")</f>
        <v>Æg, dele i hvide og blomme</v>
      </c>
      <c r="H359" s="205"/>
      <c r="I359" s="363" t="s">
        <v>269</v>
      </c>
      <c r="J359" s="384" t="s">
        <v>268</v>
      </c>
      <c r="K359" s="353" t="s">
        <v>575</v>
      </c>
      <c r="L359" s="336" t="s">
        <v>594</v>
      </c>
      <c r="M359" s="343" t="s">
        <v>181</v>
      </c>
      <c r="N359" s="376">
        <v>1</v>
      </c>
    </row>
    <row r="360" spans="1:14" ht="27" customHeight="1" thickTop="1">
      <c r="A360" s="327"/>
      <c r="B360" s="415"/>
      <c r="C360" s="418"/>
      <c r="D360" s="327"/>
      <c r="E360" s="433"/>
      <c r="F360" s="79" t="s">
        <v>270</v>
      </c>
      <c r="G360" s="61" t="str">
        <f>HYPERLINK("http://gocook.dk/kokkeskolen/aeg-slaa-det-ud-af-skallen","Æg, slå det ud af skallen")</f>
        <v>Æg, slå det ud af skallen</v>
      </c>
      <c r="H360" s="206"/>
      <c r="I360" s="364"/>
      <c r="J360" s="385"/>
      <c r="K360" s="354"/>
      <c r="L360" s="337"/>
      <c r="M360" s="340"/>
      <c r="N360" s="358"/>
    </row>
    <row r="361" spans="1:14" ht="15.5" customHeight="1">
      <c r="A361" s="327"/>
      <c r="B361" s="415"/>
      <c r="C361" s="418"/>
      <c r="D361" s="327"/>
      <c r="E361" s="433"/>
      <c r="F361" s="43" t="s">
        <v>271</v>
      </c>
      <c r="G361" s="71" t="str">
        <f>HYPERLINK("http://gocook.dk/kokkeskolen/aeg-slaa-ud-paa-tre-maader","Æg, slå ud på tre måder")</f>
        <v>Æg, slå ud på tre måder</v>
      </c>
      <c r="H361" s="206"/>
      <c r="I361" s="364"/>
      <c r="J361" s="385"/>
      <c r="K361" s="354"/>
      <c r="L361" s="337"/>
      <c r="M361" s="282" t="s">
        <v>184</v>
      </c>
      <c r="N361" s="358"/>
    </row>
    <row r="362" spans="1:14" ht="15.5">
      <c r="A362" s="327"/>
      <c r="B362" s="415"/>
      <c r="C362" s="418"/>
      <c r="D362" s="327"/>
      <c r="E362" s="433"/>
      <c r="F362" s="43" t="s">
        <v>40</v>
      </c>
      <c r="G362" s="71" t="str">
        <f>HYPERLINK("http://gocook.dk/kokkeskolen/aeg-vurder-om-det-er-friskt","Æg, vurder om det er friskt")</f>
        <v>Æg, vurder om det er friskt</v>
      </c>
      <c r="H362" s="206"/>
      <c r="I362" s="366"/>
      <c r="J362" s="410" t="s">
        <v>272</v>
      </c>
      <c r="K362" s="354"/>
      <c r="L362" s="337"/>
      <c r="M362" s="283"/>
      <c r="N362" s="358"/>
    </row>
    <row r="363" spans="1:14" ht="15.5">
      <c r="A363" s="327"/>
      <c r="B363" s="415"/>
      <c r="C363" s="418"/>
      <c r="D363" s="327"/>
      <c r="E363" s="433"/>
      <c r="F363" s="43" t="s">
        <v>273</v>
      </c>
      <c r="G363" s="18"/>
      <c r="I363" s="141"/>
      <c r="J363" s="385"/>
      <c r="K363" s="354"/>
      <c r="L363" s="337"/>
      <c r="M363" s="283"/>
      <c r="N363" s="358"/>
    </row>
    <row r="364" spans="1:14" ht="16" thickBot="1">
      <c r="A364" s="327"/>
      <c r="B364" s="415"/>
      <c r="C364" s="418"/>
      <c r="D364" s="327"/>
      <c r="E364" s="433"/>
      <c r="F364" s="43" t="s">
        <v>274</v>
      </c>
      <c r="G364" s="18"/>
      <c r="I364" s="129"/>
      <c r="J364" s="386"/>
      <c r="K364" s="354"/>
      <c r="L364" s="338"/>
      <c r="M364" s="283"/>
      <c r="N364" s="359"/>
    </row>
    <row r="365" spans="1:14" ht="15.5">
      <c r="A365" s="327"/>
      <c r="B365" s="415"/>
      <c r="C365" s="418"/>
      <c r="D365" s="327"/>
      <c r="E365" s="433"/>
      <c r="F365" s="43" t="s">
        <v>275</v>
      </c>
      <c r="G365" s="18"/>
      <c r="I365" s="129"/>
      <c r="J365" s="131"/>
      <c r="K365" s="355"/>
      <c r="L365" s="312"/>
      <c r="M365" s="283"/>
      <c r="N365" s="360"/>
    </row>
    <row r="366" spans="1:14" ht="15.5">
      <c r="A366" s="327"/>
      <c r="B366" s="415"/>
      <c r="C366" s="418"/>
      <c r="D366" s="327"/>
      <c r="E366" s="433"/>
      <c r="F366" s="43" t="s">
        <v>276</v>
      </c>
      <c r="G366" s="80"/>
      <c r="I366" s="129"/>
      <c r="J366" s="131"/>
      <c r="K366" s="355"/>
      <c r="L366" s="312"/>
      <c r="M366" s="284"/>
      <c r="N366" s="358"/>
    </row>
    <row r="367" spans="1:14" ht="15.5">
      <c r="A367" s="327"/>
      <c r="B367" s="415"/>
      <c r="C367" s="418"/>
      <c r="D367" s="327"/>
      <c r="E367" s="433"/>
      <c r="F367" s="18"/>
      <c r="G367" s="71" t="str">
        <f>HYPERLINK("http://gocook.dk/kokkeskolen/aeg-koge","Æg, koge")</f>
        <v>Æg, koge</v>
      </c>
      <c r="I367" s="129"/>
      <c r="J367" s="131"/>
      <c r="K367" s="355"/>
      <c r="L367" s="312"/>
      <c r="M367" s="224"/>
      <c r="N367" s="358"/>
    </row>
    <row r="368" spans="1:14" ht="15.5">
      <c r="A368" s="327"/>
      <c r="B368" s="415"/>
      <c r="C368" s="418"/>
      <c r="D368" s="327"/>
      <c r="E368" s="433"/>
      <c r="F368" s="18"/>
      <c r="G368" s="71" t="str">
        <f>HYPERLINK("http://gocook.dk/kokkeskolen/aeg-spejlaeg","Æg, spejlæg")</f>
        <v>Æg, spejlæg</v>
      </c>
      <c r="I368" s="129"/>
      <c r="J368" s="131"/>
      <c r="K368" s="355"/>
      <c r="L368" s="312"/>
      <c r="M368" s="224"/>
      <c r="N368" s="358"/>
    </row>
    <row r="369" spans="1:14" ht="16" thickBot="1">
      <c r="A369" s="327"/>
      <c r="B369" s="415"/>
      <c r="C369" s="418"/>
      <c r="D369" s="327"/>
      <c r="E369" s="433"/>
      <c r="F369" s="18"/>
      <c r="G369" s="71" t="str">
        <f>HYPERLINK("http://gocook.dk/gocook-tv/gorm-laver-kartoffelaeggekage","Gorm laver kartoffelæggekage")</f>
        <v>Gorm laver kartoffelæggekage</v>
      </c>
      <c r="I369" s="129"/>
      <c r="J369" s="131"/>
      <c r="K369" s="355"/>
      <c r="L369" s="312"/>
      <c r="M369" s="224"/>
      <c r="N369" s="358"/>
    </row>
    <row r="370" spans="1:14" ht="16" thickTop="1">
      <c r="A370" s="327"/>
      <c r="B370" s="415"/>
      <c r="C370" s="418"/>
      <c r="D370" s="327"/>
      <c r="E370" s="432" t="s">
        <v>104</v>
      </c>
      <c r="F370" s="26"/>
      <c r="G370" s="40"/>
      <c r="H370" s="72" t="str">
        <f>HYPERLINK("http://gocook.dk/gocookbook/bagte-aeg","Bagte æg")</f>
        <v>Bagte æg</v>
      </c>
      <c r="I370" s="390" t="s">
        <v>43</v>
      </c>
      <c r="J370" s="130"/>
      <c r="K370" s="355"/>
      <c r="L370" s="312"/>
      <c r="M370" s="224"/>
      <c r="N370" s="358"/>
    </row>
    <row r="371" spans="1:14" ht="15.5">
      <c r="A371" s="327"/>
      <c r="B371" s="415"/>
      <c r="C371" s="418"/>
      <c r="D371" s="327"/>
      <c r="E371" s="433"/>
      <c r="G371" s="19"/>
      <c r="H371" s="50" t="str">
        <f>HYPERLINK("http://gocook.dk/gocookbook/spejlaeg","Spejlæg")</f>
        <v>Spejlæg</v>
      </c>
      <c r="I371" s="391"/>
      <c r="J371" s="131"/>
      <c r="K371" s="355"/>
      <c r="L371" s="312"/>
      <c r="M371" s="224"/>
      <c r="N371" s="358"/>
    </row>
    <row r="372" spans="1:14" ht="15.5">
      <c r="A372" s="327"/>
      <c r="B372" s="415"/>
      <c r="C372" s="418"/>
      <c r="D372" s="327"/>
      <c r="E372" s="433"/>
      <c r="G372" s="19"/>
      <c r="H372" s="50" t="str">
        <f>HYPERLINK("http://gocook.dk/gocookbook/aeggekage","Æggekage")</f>
        <v>Æggekage</v>
      </c>
      <c r="I372" s="391"/>
      <c r="J372" s="131"/>
      <c r="K372" s="355"/>
      <c r="L372" s="312"/>
      <c r="M372" s="224"/>
      <c r="N372" s="358"/>
    </row>
    <row r="373" spans="1:14" ht="12.5">
      <c r="A373" s="327"/>
      <c r="B373" s="415"/>
      <c r="C373" s="418"/>
      <c r="D373" s="327"/>
      <c r="E373" s="433"/>
      <c r="G373" s="19"/>
      <c r="I373" s="391"/>
      <c r="J373" s="131"/>
      <c r="K373" s="355"/>
      <c r="L373" s="312"/>
      <c r="M373" s="224"/>
      <c r="N373" s="358"/>
    </row>
    <row r="374" spans="1:14" ht="13" thickBot="1">
      <c r="A374" s="327"/>
      <c r="B374" s="415"/>
      <c r="C374" s="419"/>
      <c r="D374" s="327"/>
      <c r="E374" s="433"/>
      <c r="G374" s="19"/>
      <c r="I374" s="392"/>
      <c r="J374" s="131"/>
      <c r="K374" s="356"/>
      <c r="L374" s="313"/>
      <c r="M374" s="277"/>
      <c r="N374" s="377"/>
    </row>
    <row r="375" spans="1:14" ht="16" customHeight="1" thickBot="1">
      <c r="A375" s="327"/>
      <c r="B375" s="331" t="s">
        <v>12</v>
      </c>
      <c r="C375" s="332" t="s">
        <v>559</v>
      </c>
      <c r="D375" s="327"/>
      <c r="E375" s="122"/>
      <c r="F375" s="31" t="s">
        <v>277</v>
      </c>
      <c r="G375" s="32"/>
      <c r="H375" s="42"/>
      <c r="I375" s="132"/>
      <c r="J375" s="132"/>
      <c r="K375" s="133"/>
      <c r="L375" s="133"/>
      <c r="M375" s="164"/>
      <c r="N375" s="175"/>
    </row>
    <row r="376" spans="1:14" ht="17.25" customHeight="1" thickTop="1" thickBot="1">
      <c r="A376" s="327"/>
      <c r="B376" s="318"/>
      <c r="C376" s="329"/>
      <c r="D376" s="327"/>
      <c r="E376" s="421" t="s">
        <v>15</v>
      </c>
      <c r="F376" s="17" t="s">
        <v>278</v>
      </c>
      <c r="H376" s="19"/>
      <c r="I376" s="350" t="s">
        <v>280</v>
      </c>
      <c r="J376" s="363" t="s">
        <v>279</v>
      </c>
      <c r="K376" s="304" t="s">
        <v>578</v>
      </c>
      <c r="L376" s="336" t="s">
        <v>598</v>
      </c>
      <c r="M376" s="339" t="s">
        <v>281</v>
      </c>
      <c r="N376" s="411">
        <v>2</v>
      </c>
    </row>
    <row r="377" spans="1:14" ht="39" customHeight="1" thickTop="1">
      <c r="A377" s="327"/>
      <c r="B377" s="318"/>
      <c r="C377" s="329"/>
      <c r="D377" s="327"/>
      <c r="E377" s="422"/>
      <c r="F377" s="43" t="s">
        <v>282</v>
      </c>
      <c r="H377" s="19"/>
      <c r="I377" s="351"/>
      <c r="J377" s="364"/>
      <c r="K377" s="305"/>
      <c r="L377" s="337"/>
      <c r="M377" s="340"/>
      <c r="N377" s="358"/>
    </row>
    <row r="378" spans="1:14" ht="15.5">
      <c r="A378" s="327"/>
      <c r="B378" s="318"/>
      <c r="C378" s="329"/>
      <c r="D378" s="327"/>
      <c r="E378" s="422"/>
      <c r="F378" s="43" t="s">
        <v>283</v>
      </c>
      <c r="G378" s="71" t="str">
        <f>HYPERLINK("http://gocook.dk/kokkeskolen/vaniljekranse-rulle","Vaniljekranse, rulle")</f>
        <v>Vaniljekranse, rulle</v>
      </c>
      <c r="H378" s="19"/>
      <c r="I378" s="351"/>
      <c r="J378" s="365" t="s">
        <v>284</v>
      </c>
      <c r="K378" s="305"/>
      <c r="L378" s="337"/>
      <c r="M378" s="348" t="s">
        <v>285</v>
      </c>
      <c r="N378" s="358"/>
    </row>
    <row r="379" spans="1:14" ht="27" customHeight="1" thickBot="1">
      <c r="A379" s="327"/>
      <c r="B379" s="318"/>
      <c r="C379" s="329"/>
      <c r="D379" s="327"/>
      <c r="E379" s="422"/>
      <c r="F379" s="47" t="s">
        <v>286</v>
      </c>
      <c r="H379" s="19"/>
      <c r="I379" s="352"/>
      <c r="J379" s="366"/>
      <c r="K379" s="306"/>
      <c r="L379" s="338"/>
      <c r="M379" s="344"/>
      <c r="N379" s="359"/>
    </row>
    <row r="380" spans="1:14" ht="15.5">
      <c r="A380" s="327"/>
      <c r="B380" s="318"/>
      <c r="C380" s="329"/>
      <c r="D380" s="327"/>
      <c r="E380" s="422"/>
      <c r="F380" s="43" t="s">
        <v>287</v>
      </c>
      <c r="G380" s="71" t="str">
        <f>HYPERLINK("http://gocook.dk/kokkeskolen/aebleskiver-bage","Æbleskiver, bage")</f>
        <v>Æbleskiver, bage</v>
      </c>
      <c r="H380" s="19"/>
      <c r="I380" s="136"/>
      <c r="J380" s="129"/>
      <c r="K380" s="222"/>
      <c r="L380" s="226"/>
      <c r="M380" s="222"/>
      <c r="N380" s="222"/>
    </row>
    <row r="381" spans="1:14" ht="15.5">
      <c r="A381" s="327"/>
      <c r="B381" s="318"/>
      <c r="C381" s="329"/>
      <c r="D381" s="327"/>
      <c r="E381" s="422"/>
      <c r="F381" s="43" t="s">
        <v>288</v>
      </c>
      <c r="H381" s="19"/>
      <c r="I381" s="136"/>
      <c r="J381" s="129"/>
      <c r="K381" s="222"/>
      <c r="L381" s="226"/>
      <c r="M381" s="224"/>
      <c r="N381" s="225"/>
    </row>
    <row r="382" spans="1:14" ht="16" thickBot="1">
      <c r="A382" s="327"/>
      <c r="B382" s="318"/>
      <c r="C382" s="329"/>
      <c r="D382" s="327"/>
      <c r="E382" s="422"/>
      <c r="F382" s="43" t="s">
        <v>289</v>
      </c>
      <c r="G382" s="71" t="str">
        <f>HYPERLINK("http://gocook.dk/kokkeskolen/luciaboller-rulle","Luciaboller, rulle")</f>
        <v>Luciaboller, rulle</v>
      </c>
      <c r="H382" s="19"/>
      <c r="I382" s="136"/>
      <c r="J382" s="129"/>
      <c r="K382" s="222"/>
      <c r="L382" s="226"/>
      <c r="M382" s="224"/>
      <c r="N382" s="225"/>
    </row>
    <row r="383" spans="1:14" ht="16" customHeight="1" thickTop="1">
      <c r="A383" s="327"/>
      <c r="B383" s="318"/>
      <c r="C383" s="329"/>
      <c r="D383" s="327"/>
      <c r="E383" s="317" t="s">
        <v>245</v>
      </c>
      <c r="F383" s="40"/>
      <c r="G383" s="25"/>
      <c r="H383" s="81" t="str">
        <f>HYPERLINK("http://gocook.dk/gocookbook/1-grunddej-3-smaakager","1 grunddej-3 småkager")</f>
        <v>1 grunddej-3 småkager</v>
      </c>
      <c r="I383" s="367" t="s">
        <v>43</v>
      </c>
      <c r="J383" s="134"/>
      <c r="K383" s="222"/>
      <c r="L383" s="226"/>
      <c r="M383" s="224"/>
      <c r="N383" s="225"/>
    </row>
    <row r="384" spans="1:14" ht="15.5">
      <c r="A384" s="327"/>
      <c r="B384" s="318"/>
      <c r="C384" s="329"/>
      <c r="D384" s="327"/>
      <c r="E384" s="318"/>
      <c r="F384" s="19"/>
      <c r="G384" s="18"/>
      <c r="H384" s="71" t="str">
        <f>HYPERLINK("http://gocook.dk/gocookbook/luciaboller","Luciaboller")</f>
        <v>Luciaboller</v>
      </c>
      <c r="I384" s="368"/>
      <c r="J384" s="129"/>
      <c r="K384" s="222"/>
      <c r="L384" s="226"/>
      <c r="M384" s="224"/>
      <c r="N384" s="225"/>
    </row>
    <row r="385" spans="1:14" ht="15.5">
      <c r="A385" s="327"/>
      <c r="B385" s="318"/>
      <c r="C385" s="329"/>
      <c r="D385" s="327"/>
      <c r="E385" s="318"/>
      <c r="F385" s="19"/>
      <c r="G385" s="18"/>
      <c r="H385" s="71" t="str">
        <f>HYPERLINK("http://gocook.dk/gocookbook/aebleskiver","Æbleskiver")</f>
        <v>Æbleskiver</v>
      </c>
      <c r="I385" s="368"/>
      <c r="J385" s="129"/>
      <c r="K385" s="222"/>
      <c r="L385" s="226"/>
      <c r="M385" s="224"/>
      <c r="N385" s="225"/>
    </row>
    <row r="386" spans="1:14" ht="15.5">
      <c r="A386" s="327"/>
      <c r="B386" s="318"/>
      <c r="C386" s="329"/>
      <c r="D386" s="327"/>
      <c r="E386" s="318"/>
      <c r="F386" s="19"/>
      <c r="G386" s="18"/>
      <c r="H386" s="71" t="str">
        <f>HYPERLINK("http://gocook.dk/gocookbook/vaniljekranse","Vaniljekranse")</f>
        <v>Vaniljekranse</v>
      </c>
      <c r="I386" s="368"/>
      <c r="J386" s="129"/>
      <c r="K386" s="222"/>
      <c r="L386" s="226"/>
      <c r="M386" s="224"/>
      <c r="N386" s="225"/>
    </row>
    <row r="387" spans="1:14" ht="15.5">
      <c r="A387" s="327"/>
      <c r="B387" s="318"/>
      <c r="C387" s="329"/>
      <c r="D387" s="327"/>
      <c r="E387" s="318"/>
      <c r="F387" s="19"/>
      <c r="G387" s="18"/>
      <c r="H387" s="71" t="str">
        <f>HYPERLINK("http://gocook.dk/gocookbook/risalamande","Risalamande")</f>
        <v>Risalamande</v>
      </c>
      <c r="I387" s="368"/>
      <c r="J387" s="129"/>
      <c r="K387" s="222"/>
      <c r="L387" s="226"/>
      <c r="M387" s="224"/>
      <c r="N387" s="225"/>
    </row>
    <row r="388" spans="1:14" ht="15.5">
      <c r="A388" s="327"/>
      <c r="B388" s="318"/>
      <c r="C388" s="329"/>
      <c r="D388" s="327"/>
      <c r="E388" s="318"/>
      <c r="F388" s="19"/>
      <c r="G388" s="18"/>
      <c r="H388" s="71" t="str">
        <f>HYPERLINK("http://gocook.dk/gocookbook/risengroed","Risengrød")</f>
        <v>Risengrød</v>
      </c>
      <c r="I388" s="368"/>
      <c r="J388" s="129"/>
      <c r="K388" s="222"/>
      <c r="L388" s="226"/>
      <c r="M388" s="224"/>
      <c r="N388" s="225"/>
    </row>
    <row r="389" spans="1:14" ht="15.5">
      <c r="A389" s="327"/>
      <c r="B389" s="318"/>
      <c r="C389" s="329"/>
      <c r="D389" s="327"/>
      <c r="E389" s="318"/>
      <c r="F389" s="19"/>
      <c r="G389" s="18"/>
      <c r="H389" s="71" t="str">
        <f>HYPERLINK("http://gocook.dk/gocookbook/rensdyrs-kokostoppe","Rensdyrs-kokostoppe")</f>
        <v>Rensdyrs-kokostoppe</v>
      </c>
      <c r="I389" s="368"/>
      <c r="J389" s="129"/>
      <c r="K389" s="222"/>
      <c r="L389" s="226"/>
      <c r="M389" s="224"/>
      <c r="N389" s="225"/>
    </row>
    <row r="390" spans="1:14" ht="15.5">
      <c r="A390" s="327"/>
      <c r="B390" s="318"/>
      <c r="C390" s="329"/>
      <c r="D390" s="327"/>
      <c r="E390" s="318"/>
      <c r="F390" s="19"/>
      <c r="G390" s="18"/>
      <c r="H390" s="71" t="str">
        <f>HYPERLINK("http://gocook.dk/gocookbook/konfektpakker","Konfektpakker")</f>
        <v>Konfektpakker</v>
      </c>
      <c r="I390" s="368"/>
      <c r="J390" s="129"/>
      <c r="K390" s="222"/>
      <c r="L390" s="226"/>
      <c r="M390" s="224"/>
      <c r="N390" s="225"/>
    </row>
    <row r="391" spans="1:14" ht="15.5">
      <c r="A391" s="327"/>
      <c r="B391" s="318"/>
      <c r="C391" s="329"/>
      <c r="D391" s="327"/>
      <c r="E391" s="318"/>
      <c r="F391" s="19"/>
      <c r="G391" s="18"/>
      <c r="H391" s="71" t="str">
        <f>HYPERLINK("http://gocook.dk/gocookbook/ingefaersmaakager","Ingefærsmåkager")</f>
        <v>Ingefærsmåkager</v>
      </c>
      <c r="I391" s="368"/>
      <c r="J391" s="129"/>
      <c r="K391" s="222"/>
      <c r="L391" s="226"/>
      <c r="M391" s="224"/>
      <c r="N391" s="225"/>
    </row>
    <row r="392" spans="1:14" ht="15.5">
      <c r="A392" s="327"/>
      <c r="B392" s="318"/>
      <c r="C392" s="329"/>
      <c r="D392" s="327"/>
      <c r="E392" s="318"/>
      <c r="F392" s="19"/>
      <c r="G392" s="18"/>
      <c r="H392" s="71" t="str">
        <f>HYPERLINK("http://gocook.dk/gocookbook/julesmaakager","Julesmåkager")</f>
        <v>Julesmåkager</v>
      </c>
      <c r="I392" s="368"/>
      <c r="J392" s="129"/>
      <c r="K392" s="222"/>
      <c r="L392" s="226"/>
      <c r="M392" s="224"/>
      <c r="N392" s="225"/>
    </row>
    <row r="393" spans="1:14" ht="15.5">
      <c r="A393" s="327"/>
      <c r="B393" s="318"/>
      <c r="C393" s="329"/>
      <c r="D393" s="327"/>
      <c r="E393" s="318"/>
      <c r="F393" s="19"/>
      <c r="G393" s="18"/>
      <c r="H393" s="71" t="str">
        <f>HYPERLINK("http://gocook.dk/gocookbook/juleboller-med-risengroed","Juleboller med risengrød")</f>
        <v>Juleboller med risengrød</v>
      </c>
      <c r="I393" s="368"/>
      <c r="J393" s="129"/>
      <c r="K393" s="222"/>
      <c r="L393" s="226"/>
      <c r="M393" s="224"/>
      <c r="N393" s="225"/>
    </row>
    <row r="394" spans="1:14" ht="15.5">
      <c r="A394" s="327"/>
      <c r="B394" s="318"/>
      <c r="C394" s="329"/>
      <c r="D394" s="327"/>
      <c r="E394" s="318"/>
      <c r="F394" s="19"/>
      <c r="G394" s="18"/>
      <c r="H394" s="71" t="str">
        <f>HYPERLINK("http://gocook.dk/gocookbook/solbaer-gloegg","Solbær-gløgg")</f>
        <v>Solbær-gløgg</v>
      </c>
      <c r="I394" s="368"/>
      <c r="J394" s="129"/>
      <c r="K394" s="222"/>
      <c r="L394" s="226"/>
      <c r="M394" s="224"/>
      <c r="N394" s="225"/>
    </row>
    <row r="395" spans="1:14" ht="15.5">
      <c r="A395" s="327"/>
      <c r="B395" s="318"/>
      <c r="C395" s="329"/>
      <c r="D395" s="327"/>
      <c r="E395" s="318"/>
      <c r="F395" s="19"/>
      <c r="G395" s="18"/>
      <c r="H395" s="71" t="str">
        <f>HYPERLINK("http://gocook.dk/gocookbook/julecupcakes","Julecupcakes")</f>
        <v>Julecupcakes</v>
      </c>
      <c r="I395" s="368"/>
      <c r="J395" s="129"/>
      <c r="K395" s="222"/>
      <c r="L395" s="226"/>
      <c r="M395" s="224"/>
      <c r="N395" s="225"/>
    </row>
    <row r="396" spans="1:14" s="207" customFormat="1" ht="15.5">
      <c r="A396" s="327"/>
      <c r="B396" s="318"/>
      <c r="C396" s="329"/>
      <c r="D396" s="327"/>
      <c r="E396" s="318"/>
      <c r="F396" s="19"/>
      <c r="G396" s="18"/>
      <c r="H396" s="71" t="str">
        <f>HYPERLINK("http://gocook.dk/gocookbook/julenoedder","Julenødder")</f>
        <v>Julenødder</v>
      </c>
      <c r="I396" s="368"/>
      <c r="J396" s="129"/>
      <c r="K396" s="222"/>
      <c r="L396" s="226"/>
      <c r="M396" s="224"/>
      <c r="N396" s="225"/>
    </row>
    <row r="397" spans="1:14" s="207" customFormat="1" ht="16" thickBot="1">
      <c r="A397" s="327"/>
      <c r="B397" s="510" t="s">
        <v>12</v>
      </c>
      <c r="C397" s="469" t="s">
        <v>676</v>
      </c>
      <c r="D397" s="327"/>
      <c r="E397" s="31"/>
      <c r="F397" s="31" t="s">
        <v>612</v>
      </c>
      <c r="G397" s="32"/>
      <c r="H397" s="42"/>
      <c r="I397" s="132"/>
      <c r="J397" s="132"/>
      <c r="K397" s="133"/>
      <c r="L397" s="133"/>
      <c r="M397" s="164"/>
      <c r="N397" s="175"/>
    </row>
    <row r="398" spans="1:14" s="207" customFormat="1" ht="16" customHeight="1" thickBot="1">
      <c r="A398" s="327"/>
      <c r="B398" s="510"/>
      <c r="C398" s="469"/>
      <c r="D398" s="327"/>
      <c r="E398" s="478" t="s">
        <v>15</v>
      </c>
      <c r="F398" s="263" t="s">
        <v>613</v>
      </c>
      <c r="G398" s="254"/>
      <c r="H398" s="255"/>
      <c r="I398" s="404" t="s">
        <v>669</v>
      </c>
      <c r="J398" s="475" t="s">
        <v>671</v>
      </c>
      <c r="K398" s="395" t="s">
        <v>578</v>
      </c>
      <c r="L398" s="399" t="s">
        <v>598</v>
      </c>
      <c r="M398" s="464" t="s">
        <v>672</v>
      </c>
      <c r="N398" s="412">
        <v>2</v>
      </c>
    </row>
    <row r="399" spans="1:14" s="207" customFormat="1" ht="16" thickTop="1">
      <c r="A399" s="327"/>
      <c r="B399" s="510"/>
      <c r="C399" s="469"/>
      <c r="D399" s="327"/>
      <c r="E399" s="478"/>
      <c r="F399" s="264" t="s">
        <v>653</v>
      </c>
      <c r="G399" s="238" t="s">
        <v>659</v>
      </c>
      <c r="H399" s="256"/>
      <c r="I399" s="405"/>
      <c r="J399" s="476"/>
      <c r="K399" s="396"/>
      <c r="L399" s="400"/>
      <c r="M399" s="464"/>
      <c r="N399" s="412"/>
    </row>
    <row r="400" spans="1:14" s="207" customFormat="1" ht="15.5">
      <c r="A400" s="327"/>
      <c r="B400" s="510"/>
      <c r="C400" s="469"/>
      <c r="D400" s="327"/>
      <c r="E400" s="478"/>
      <c r="F400" s="264" t="s">
        <v>654</v>
      </c>
      <c r="G400" s="238" t="s">
        <v>660</v>
      </c>
      <c r="H400" s="256"/>
      <c r="I400" s="405"/>
      <c r="J400" s="476"/>
      <c r="K400" s="396"/>
      <c r="L400" s="400"/>
      <c r="M400" s="464"/>
      <c r="N400" s="412"/>
    </row>
    <row r="401" spans="1:14" s="207" customFormat="1" ht="15.5">
      <c r="A401" s="327"/>
      <c r="B401" s="510"/>
      <c r="C401" s="469"/>
      <c r="D401" s="327"/>
      <c r="E401" s="478"/>
      <c r="F401" s="264" t="s">
        <v>655</v>
      </c>
      <c r="G401" s="257"/>
      <c r="H401" s="256"/>
      <c r="I401" s="405"/>
      <c r="J401" s="477"/>
      <c r="K401" s="396"/>
      <c r="L401" s="400"/>
      <c r="M401" s="464"/>
      <c r="N401" s="412"/>
    </row>
    <row r="402" spans="1:14" s="207" customFormat="1" ht="15.5">
      <c r="A402" s="327"/>
      <c r="B402" s="510"/>
      <c r="C402" s="469"/>
      <c r="D402" s="327"/>
      <c r="E402" s="478"/>
      <c r="F402" s="264" t="s">
        <v>656</v>
      </c>
      <c r="G402" s="238" t="s">
        <v>661</v>
      </c>
      <c r="H402" s="256"/>
      <c r="I402" s="405"/>
      <c r="J402" s="129"/>
      <c r="K402" s="396"/>
      <c r="L402" s="400"/>
      <c r="M402" s="464" t="s">
        <v>673</v>
      </c>
      <c r="N402" s="412">
        <v>2</v>
      </c>
    </row>
    <row r="403" spans="1:14" s="207" customFormat="1" ht="15.5">
      <c r="A403" s="327"/>
      <c r="B403" s="510"/>
      <c r="C403" s="469"/>
      <c r="D403" s="327"/>
      <c r="E403" s="478"/>
      <c r="F403" s="264" t="s">
        <v>657</v>
      </c>
      <c r="G403" s="257"/>
      <c r="H403" s="256"/>
      <c r="I403" s="405"/>
      <c r="J403" s="129"/>
      <c r="K403" s="396"/>
      <c r="L403" s="400"/>
      <c r="M403" s="464"/>
      <c r="N403" s="412"/>
    </row>
    <row r="404" spans="1:14" s="207" customFormat="1" ht="16" thickBot="1">
      <c r="A404" s="327"/>
      <c r="B404" s="510"/>
      <c r="C404" s="469"/>
      <c r="D404" s="327"/>
      <c r="E404" s="478"/>
      <c r="F404" s="265" t="s">
        <v>658</v>
      </c>
      <c r="G404" s="258" t="s">
        <v>662</v>
      </c>
      <c r="H404" s="259"/>
      <c r="I404" s="406"/>
      <c r="J404" s="129"/>
      <c r="K404" s="396"/>
      <c r="L404" s="400"/>
      <c r="M404" s="464"/>
      <c r="N404" s="412"/>
    </row>
    <row r="405" spans="1:14" s="207" customFormat="1" ht="15.5">
      <c r="A405" s="327"/>
      <c r="B405" s="510"/>
      <c r="C405" s="469"/>
      <c r="D405" s="327"/>
      <c r="E405" s="478" t="s">
        <v>104</v>
      </c>
      <c r="F405" s="261"/>
      <c r="G405" s="233"/>
      <c r="H405" s="260" t="s">
        <v>663</v>
      </c>
      <c r="I405" s="407" t="s">
        <v>675</v>
      </c>
      <c r="J405" s="129"/>
      <c r="K405" s="396"/>
      <c r="L405" s="401"/>
      <c r="M405" s="266"/>
      <c r="N405" s="262"/>
    </row>
    <row r="406" spans="1:14" s="207" customFormat="1" ht="15.5" customHeight="1">
      <c r="A406" s="327"/>
      <c r="B406" s="510"/>
      <c r="C406" s="469"/>
      <c r="D406" s="327"/>
      <c r="E406" s="478"/>
      <c r="F406" s="256"/>
      <c r="G406" s="230"/>
      <c r="H406" s="260" t="s">
        <v>664</v>
      </c>
      <c r="I406" s="408"/>
      <c r="J406" s="129"/>
      <c r="K406" s="397" t="s">
        <v>575</v>
      </c>
      <c r="L406" s="402" t="s">
        <v>593</v>
      </c>
      <c r="M406" s="465" t="s">
        <v>637</v>
      </c>
      <c r="N406" s="412">
        <v>1</v>
      </c>
    </row>
    <row r="407" spans="1:14" s="207" customFormat="1" ht="15.5">
      <c r="A407" s="327"/>
      <c r="B407" s="510"/>
      <c r="C407" s="469"/>
      <c r="D407" s="327"/>
      <c r="E407" s="478"/>
      <c r="F407" s="256"/>
      <c r="G407" s="230"/>
      <c r="H407" s="260" t="s">
        <v>665</v>
      </c>
      <c r="I407" s="408"/>
      <c r="J407" s="129"/>
      <c r="K407" s="397"/>
      <c r="L407" s="402"/>
      <c r="M407" s="466"/>
      <c r="N407" s="412"/>
    </row>
    <row r="408" spans="1:14" s="207" customFormat="1" ht="15.5">
      <c r="A408" s="327"/>
      <c r="B408" s="510"/>
      <c r="C408" s="469"/>
      <c r="D408" s="327"/>
      <c r="E408" s="478"/>
      <c r="F408" s="256"/>
      <c r="G408" s="230"/>
      <c r="H408" s="260" t="s">
        <v>666</v>
      </c>
      <c r="I408" s="408"/>
      <c r="J408" s="129"/>
      <c r="K408" s="397"/>
      <c r="L408" s="402"/>
      <c r="M408" s="466"/>
      <c r="N408" s="412"/>
    </row>
    <row r="409" spans="1:14" s="207" customFormat="1" ht="15.5" customHeight="1">
      <c r="A409" s="327"/>
      <c r="B409" s="510"/>
      <c r="C409" s="469"/>
      <c r="D409" s="327"/>
      <c r="E409" s="478"/>
      <c r="F409" s="256"/>
      <c r="G409" s="230"/>
      <c r="H409" s="260" t="s">
        <v>667</v>
      </c>
      <c r="I409" s="408"/>
      <c r="J409" s="129"/>
      <c r="K409" s="397"/>
      <c r="L409" s="402"/>
      <c r="M409" s="468"/>
      <c r="N409" s="412">
        <v>1</v>
      </c>
    </row>
    <row r="410" spans="1:14" s="207" customFormat="1" ht="15.5">
      <c r="A410" s="327"/>
      <c r="B410" s="510"/>
      <c r="C410" s="469"/>
      <c r="D410" s="327"/>
      <c r="E410" s="478"/>
      <c r="F410" s="256"/>
      <c r="G410" s="230"/>
      <c r="H410" s="260" t="s">
        <v>668</v>
      </c>
      <c r="I410" s="408"/>
      <c r="J410" s="129"/>
      <c r="K410" s="397"/>
      <c r="L410" s="402"/>
      <c r="M410" s="465" t="s">
        <v>642</v>
      </c>
      <c r="N410" s="412"/>
    </row>
    <row r="411" spans="1:14" s="207" customFormat="1" ht="12.5" customHeight="1">
      <c r="A411" s="327"/>
      <c r="B411" s="510"/>
      <c r="C411" s="469"/>
      <c r="D411" s="327"/>
      <c r="E411" s="478"/>
      <c r="F411" s="256"/>
      <c r="G411" s="230"/>
      <c r="H411" s="261"/>
      <c r="I411" s="408"/>
      <c r="J411" s="129"/>
      <c r="K411" s="397"/>
      <c r="L411" s="402"/>
      <c r="M411" s="466"/>
      <c r="N411" s="412"/>
    </row>
    <row r="412" spans="1:14" s="207" customFormat="1" ht="12.5" customHeight="1">
      <c r="A412" s="327"/>
      <c r="B412" s="510"/>
      <c r="C412" s="469"/>
      <c r="D412" s="327"/>
      <c r="E412" s="478"/>
      <c r="F412" s="256"/>
      <c r="G412" s="230"/>
      <c r="H412" s="256"/>
      <c r="I412" s="408"/>
      <c r="J412" s="129"/>
      <c r="K412" s="397"/>
      <c r="L412" s="402"/>
      <c r="M412" s="466"/>
      <c r="N412" s="412"/>
    </row>
    <row r="413" spans="1:14" s="207" customFormat="1" ht="12.5" customHeight="1">
      <c r="A413" s="327"/>
      <c r="B413" s="510"/>
      <c r="C413" s="469"/>
      <c r="D413" s="327"/>
      <c r="E413" s="478"/>
      <c r="F413" s="256"/>
      <c r="G413" s="230"/>
      <c r="H413" s="256"/>
      <c r="I413" s="408"/>
      <c r="J413" s="129"/>
      <c r="K413" s="397"/>
      <c r="L413" s="402"/>
      <c r="M413" s="466"/>
      <c r="N413" s="412"/>
    </row>
    <row r="414" spans="1:14" s="207" customFormat="1" ht="13" customHeight="1" thickBot="1">
      <c r="A414" s="327"/>
      <c r="B414" s="510"/>
      <c r="C414" s="469"/>
      <c r="D414" s="327"/>
      <c r="E414" s="478"/>
      <c r="F414" s="259"/>
      <c r="G414" s="239"/>
      <c r="H414" s="259"/>
      <c r="I414" s="408"/>
      <c r="J414" s="129"/>
      <c r="K414" s="398"/>
      <c r="L414" s="403"/>
      <c r="M414" s="467"/>
      <c r="N414" s="413"/>
    </row>
    <row r="415" spans="1:14" s="207" customFormat="1" ht="15.5">
      <c r="A415" s="327"/>
      <c r="B415" s="510"/>
      <c r="C415" s="469"/>
      <c r="D415" s="327"/>
      <c r="E415" s="478"/>
      <c r="F415" s="19"/>
      <c r="G415" s="18"/>
      <c r="H415" s="71"/>
      <c r="I415" s="409"/>
      <c r="J415" s="129"/>
      <c r="K415" s="222"/>
      <c r="L415" s="226"/>
      <c r="M415" s="224"/>
      <c r="N415" s="225"/>
    </row>
    <row r="416" spans="1:14" s="207" customFormat="1" ht="15.5">
      <c r="A416" s="327"/>
      <c r="B416" s="510"/>
      <c r="C416" s="469"/>
      <c r="D416" s="327"/>
      <c r="E416" s="478"/>
      <c r="F416" s="19"/>
      <c r="G416" s="18"/>
      <c r="H416" s="71"/>
      <c r="I416" s="393" t="s">
        <v>670</v>
      </c>
      <c r="J416" s="129"/>
      <c r="K416" s="222"/>
      <c r="L416" s="226"/>
      <c r="M416" s="224"/>
      <c r="N416" s="225"/>
    </row>
    <row r="417" spans="1:14" s="207" customFormat="1" ht="15.5">
      <c r="A417" s="327"/>
      <c r="B417" s="510"/>
      <c r="C417" s="469"/>
      <c r="D417" s="327"/>
      <c r="E417" s="478"/>
      <c r="F417" s="19"/>
      <c r="G417" s="18"/>
      <c r="H417" s="71"/>
      <c r="I417" s="393"/>
      <c r="J417" s="129"/>
      <c r="K417" s="222"/>
      <c r="L417" s="226"/>
      <c r="M417" s="224"/>
      <c r="N417" s="225"/>
    </row>
    <row r="418" spans="1:14" s="207" customFormat="1" ht="15.5">
      <c r="A418" s="327"/>
      <c r="B418" s="510"/>
      <c r="C418" s="469"/>
      <c r="D418" s="327"/>
      <c r="E418" s="478"/>
      <c r="F418" s="19"/>
      <c r="G418" s="18"/>
      <c r="H418" s="71"/>
      <c r="I418" s="393"/>
      <c r="J418" s="129"/>
      <c r="K418" s="222"/>
      <c r="L418" s="226"/>
      <c r="M418" s="224"/>
      <c r="N418" s="225"/>
    </row>
    <row r="419" spans="1:14" ht="19.5" customHeight="1" thickBot="1">
      <c r="A419" s="521"/>
      <c r="B419" s="511"/>
      <c r="C419" s="470"/>
      <c r="D419" s="436"/>
      <c r="E419" s="479"/>
      <c r="F419" s="19"/>
      <c r="G419" s="18"/>
      <c r="I419" s="394"/>
      <c r="J419" s="129"/>
      <c r="K419" s="223"/>
      <c r="L419" s="227"/>
      <c r="M419" s="224"/>
      <c r="N419" s="225"/>
    </row>
    <row r="420" spans="1:14" ht="17.25" customHeight="1" thickTop="1" thickBot="1">
      <c r="A420" s="326" t="s">
        <v>290</v>
      </c>
      <c r="B420" s="414" t="s">
        <v>12</v>
      </c>
      <c r="C420" s="425" t="s">
        <v>560</v>
      </c>
      <c r="D420" s="326" t="s">
        <v>291</v>
      </c>
      <c r="E420" s="123"/>
      <c r="F420" s="56" t="s">
        <v>292</v>
      </c>
      <c r="G420" s="57"/>
      <c r="H420" s="58"/>
      <c r="I420" s="146"/>
      <c r="J420" s="139"/>
      <c r="K420" s="140"/>
      <c r="L420" s="140"/>
      <c r="M420" s="165"/>
      <c r="N420" s="176"/>
    </row>
    <row r="421" spans="1:14" ht="17.25" customHeight="1" thickTop="1" thickBot="1">
      <c r="A421" s="327"/>
      <c r="B421" s="415"/>
      <c r="C421" s="418"/>
      <c r="D421" s="327"/>
      <c r="E421" s="430" t="s">
        <v>78</v>
      </c>
      <c r="F421" s="17" t="s">
        <v>561</v>
      </c>
      <c r="H421" s="19"/>
      <c r="I421" s="214"/>
      <c r="J421" s="363" t="s">
        <v>293</v>
      </c>
      <c r="K421" s="353" t="s">
        <v>579</v>
      </c>
      <c r="L421" s="336" t="s">
        <v>591</v>
      </c>
      <c r="M421" s="295" t="s">
        <v>144</v>
      </c>
      <c r="N421" s="357">
        <v>1</v>
      </c>
    </row>
    <row r="422" spans="1:14" ht="16" thickTop="1">
      <c r="A422" s="327"/>
      <c r="B422" s="415"/>
      <c r="C422" s="418"/>
      <c r="D422" s="327"/>
      <c r="E422" s="415"/>
      <c r="F422" s="35" t="s">
        <v>55</v>
      </c>
      <c r="G422" s="50" t="str">
        <f>HYPERLINK("http://gocook.dk/kokkeskolen/krydderurter-skylle","Krydderurter, skylle")</f>
        <v>Krydderurter, skylle</v>
      </c>
      <c r="H422" s="19"/>
      <c r="I422" s="215"/>
      <c r="J422" s="364"/>
      <c r="K422" s="354"/>
      <c r="L422" s="337"/>
      <c r="M422" s="296"/>
      <c r="N422" s="358"/>
    </row>
    <row r="423" spans="1:14" ht="15.5">
      <c r="A423" s="327"/>
      <c r="B423" s="415"/>
      <c r="C423" s="418"/>
      <c r="D423" s="327"/>
      <c r="E423" s="415"/>
      <c r="F423" s="35" t="s">
        <v>294</v>
      </c>
      <c r="G423" s="50" t="str">
        <f>HYPERLINK("http://gocook.dk/kokkeskolen/krydderurter-hakke","Krydderurter, hakke")</f>
        <v>Krydderurter, hakke</v>
      </c>
      <c r="H423" s="19"/>
      <c r="I423" s="215"/>
      <c r="J423" s="366"/>
      <c r="K423" s="354"/>
      <c r="L423" s="337"/>
      <c r="M423" s="296"/>
      <c r="N423" s="358"/>
    </row>
    <row r="424" spans="1:14" ht="16" thickBot="1">
      <c r="A424" s="327"/>
      <c r="B424" s="415"/>
      <c r="C424" s="418"/>
      <c r="D424" s="327"/>
      <c r="E424" s="415"/>
      <c r="F424" s="35" t="s">
        <v>226</v>
      </c>
      <c r="H424" s="19"/>
      <c r="I424" s="136"/>
      <c r="J424" s="129"/>
      <c r="K424" s="354"/>
      <c r="L424" s="337"/>
      <c r="M424" s="296"/>
      <c r="N424" s="358"/>
    </row>
    <row r="425" spans="1:14" ht="15.5">
      <c r="A425" s="327"/>
      <c r="B425" s="415"/>
      <c r="C425" s="418"/>
      <c r="D425" s="327"/>
      <c r="E425" s="415"/>
      <c r="F425" s="35" t="s">
        <v>295</v>
      </c>
      <c r="H425" s="19"/>
      <c r="I425" s="136"/>
      <c r="J425" s="129"/>
      <c r="K425" s="354"/>
      <c r="L425" s="337"/>
      <c r="M425" s="295" t="s">
        <v>150</v>
      </c>
      <c r="N425" s="358"/>
    </row>
    <row r="426" spans="1:14" ht="24.75" customHeight="1" thickBot="1">
      <c r="A426" s="327"/>
      <c r="B426" s="415"/>
      <c r="C426" s="418"/>
      <c r="D426" s="327"/>
      <c r="E426" s="415"/>
      <c r="F426" s="19"/>
      <c r="H426" s="19"/>
      <c r="I426" s="136"/>
      <c r="J426" s="129"/>
      <c r="K426" s="354"/>
      <c r="L426" s="338"/>
      <c r="M426" s="296"/>
      <c r="N426" s="359"/>
    </row>
    <row r="427" spans="1:14" ht="16" thickTop="1">
      <c r="A427" s="327"/>
      <c r="B427" s="415"/>
      <c r="C427" s="418"/>
      <c r="D427" s="327"/>
      <c r="E427" s="414" t="s">
        <v>104</v>
      </c>
      <c r="F427" s="40"/>
      <c r="G427" s="26"/>
      <c r="H427" s="54" t="str">
        <f>HYPERLINK("http://gocook.dk/gocookbook/blomkaal-med-rejer-og-dild","Blomkål med rejer og dild")</f>
        <v>Blomkål med rejer og dild</v>
      </c>
      <c r="I427" s="370" t="s">
        <v>43</v>
      </c>
      <c r="J427" s="134"/>
      <c r="K427" s="355"/>
      <c r="L427" s="312"/>
      <c r="M427" s="307"/>
      <c r="N427" s="371"/>
    </row>
    <row r="428" spans="1:14" ht="15.5">
      <c r="A428" s="327"/>
      <c r="B428" s="415"/>
      <c r="C428" s="418"/>
      <c r="D428" s="327"/>
      <c r="E428" s="415"/>
      <c r="F428" s="19"/>
      <c r="H428" s="61" t="str">
        <f>HYPERLINK("http://gocook.dk/gocookbook/gulerodsstaenger-med-dip","Gulerodsstænger med dip")</f>
        <v>Gulerodsstænger med dip</v>
      </c>
      <c r="I428" s="351"/>
      <c r="J428" s="129"/>
      <c r="K428" s="355"/>
      <c r="L428" s="312"/>
      <c r="M428" s="224"/>
      <c r="N428" s="372"/>
    </row>
    <row r="429" spans="1:14" ht="12.5">
      <c r="A429" s="327"/>
      <c r="B429" s="415"/>
      <c r="C429" s="418"/>
      <c r="D429" s="327"/>
      <c r="E429" s="415"/>
      <c r="F429" s="19"/>
      <c r="H429" s="19"/>
      <c r="I429" s="351"/>
      <c r="J429" s="129"/>
      <c r="K429" s="355"/>
      <c r="L429" s="312"/>
      <c r="M429" s="224"/>
      <c r="N429" s="372"/>
    </row>
    <row r="430" spans="1:14" ht="12.5">
      <c r="A430" s="327"/>
      <c r="B430" s="415"/>
      <c r="C430" s="418"/>
      <c r="D430" s="327"/>
      <c r="E430" s="415"/>
      <c r="F430" s="19"/>
      <c r="H430" s="19"/>
      <c r="I430" s="351"/>
      <c r="J430" s="129"/>
      <c r="K430" s="355"/>
      <c r="L430" s="312"/>
      <c r="M430" s="224"/>
      <c r="N430" s="372"/>
    </row>
    <row r="431" spans="1:14" ht="13" thickBot="1">
      <c r="A431" s="327"/>
      <c r="B431" s="415"/>
      <c r="C431" s="419"/>
      <c r="D431" s="327"/>
      <c r="E431" s="415"/>
      <c r="F431" s="19"/>
      <c r="H431" s="19"/>
      <c r="I431" s="352"/>
      <c r="J431" s="129"/>
      <c r="K431" s="356"/>
      <c r="L431" s="313"/>
      <c r="M431" s="277"/>
      <c r="N431" s="374"/>
    </row>
    <row r="432" spans="1:14" ht="16" thickBot="1">
      <c r="A432" s="327"/>
      <c r="B432" s="416" t="s">
        <v>12</v>
      </c>
      <c r="C432" s="417" t="s">
        <v>560</v>
      </c>
      <c r="D432" s="327"/>
      <c r="E432" s="122"/>
      <c r="F432" s="31" t="s">
        <v>296</v>
      </c>
      <c r="G432" s="32"/>
      <c r="H432" s="42"/>
      <c r="I432" s="132"/>
      <c r="J432" s="132"/>
      <c r="K432" s="133"/>
      <c r="L432" s="133"/>
      <c r="M432" s="164"/>
      <c r="N432" s="175"/>
    </row>
    <row r="433" spans="1:14" ht="17.25" customHeight="1" thickTop="1" thickBot="1">
      <c r="A433" s="327"/>
      <c r="B433" s="415"/>
      <c r="C433" s="418"/>
      <c r="D433" s="327"/>
      <c r="E433" s="421" t="s">
        <v>78</v>
      </c>
      <c r="F433" s="17" t="s">
        <v>562</v>
      </c>
      <c r="H433" s="19"/>
      <c r="I433" s="350" t="s">
        <v>298</v>
      </c>
      <c r="J433" s="363" t="s">
        <v>297</v>
      </c>
      <c r="K433" s="353" t="s">
        <v>576</v>
      </c>
      <c r="L433" s="336" t="s">
        <v>591</v>
      </c>
      <c r="M433" s="339" t="s">
        <v>107</v>
      </c>
      <c r="N433" s="357">
        <v>2</v>
      </c>
    </row>
    <row r="434" spans="1:14" ht="16" thickTop="1">
      <c r="A434" s="327"/>
      <c r="B434" s="415"/>
      <c r="C434" s="418"/>
      <c r="D434" s="327"/>
      <c r="E434" s="422"/>
      <c r="F434" s="35" t="s">
        <v>299</v>
      </c>
      <c r="H434" s="19"/>
      <c r="I434" s="351"/>
      <c r="J434" s="364"/>
      <c r="K434" s="354"/>
      <c r="L434" s="337"/>
      <c r="M434" s="340"/>
      <c r="N434" s="358"/>
    </row>
    <row r="435" spans="1:14" ht="24" customHeight="1">
      <c r="A435" s="327"/>
      <c r="B435" s="415"/>
      <c r="C435" s="418"/>
      <c r="D435" s="327"/>
      <c r="E435" s="422"/>
      <c r="F435" s="35" t="s">
        <v>300</v>
      </c>
      <c r="H435" s="19"/>
      <c r="I435" s="351"/>
      <c r="J435" s="365" t="s">
        <v>301</v>
      </c>
      <c r="K435" s="354"/>
      <c r="L435" s="337"/>
      <c r="M435" s="340"/>
      <c r="N435" s="358"/>
    </row>
    <row r="436" spans="1:14" ht="15.5">
      <c r="A436" s="327"/>
      <c r="B436" s="415"/>
      <c r="C436" s="418"/>
      <c r="D436" s="327"/>
      <c r="E436" s="422"/>
      <c r="F436" s="43" t="s">
        <v>302</v>
      </c>
      <c r="H436" s="19"/>
      <c r="I436" s="351"/>
      <c r="J436" s="364"/>
      <c r="K436" s="354"/>
      <c r="L436" s="337"/>
      <c r="M436" s="348" t="s">
        <v>111</v>
      </c>
      <c r="N436" s="358"/>
    </row>
    <row r="437" spans="1:14" ht="15.5">
      <c r="A437" s="327"/>
      <c r="B437" s="415"/>
      <c r="C437" s="418"/>
      <c r="D437" s="327"/>
      <c r="E437" s="422"/>
      <c r="F437" s="43" t="s">
        <v>303</v>
      </c>
      <c r="H437" s="19"/>
      <c r="I437" s="352"/>
      <c r="J437" s="366"/>
      <c r="K437" s="354"/>
      <c r="L437" s="337"/>
      <c r="M437" s="340"/>
      <c r="N437" s="358"/>
    </row>
    <row r="438" spans="1:14" ht="23.25" customHeight="1" thickBot="1">
      <c r="A438" s="327"/>
      <c r="B438" s="415"/>
      <c r="C438" s="418"/>
      <c r="D438" s="327"/>
      <c r="E438" s="422"/>
      <c r="F438" s="35" t="s">
        <v>304</v>
      </c>
      <c r="H438" s="19"/>
      <c r="I438" s="136"/>
      <c r="J438" s="129"/>
      <c r="K438" s="354"/>
      <c r="L438" s="338"/>
      <c r="M438" s="344"/>
      <c r="N438" s="359"/>
    </row>
    <row r="439" spans="1:14" ht="15.5">
      <c r="A439" s="327"/>
      <c r="B439" s="415"/>
      <c r="C439" s="418"/>
      <c r="D439" s="327"/>
      <c r="E439" s="422"/>
      <c r="F439" s="43" t="s">
        <v>305</v>
      </c>
      <c r="H439" s="19"/>
      <c r="I439" s="136"/>
      <c r="J439" s="129"/>
      <c r="K439" s="355"/>
      <c r="L439" s="312"/>
      <c r="M439" s="341"/>
      <c r="N439" s="360"/>
    </row>
    <row r="440" spans="1:14" ht="16" thickBot="1">
      <c r="A440" s="327"/>
      <c r="B440" s="415"/>
      <c r="C440" s="418"/>
      <c r="D440" s="327"/>
      <c r="E440" s="422"/>
      <c r="F440" s="67" t="s">
        <v>306</v>
      </c>
      <c r="H440" s="19"/>
      <c r="I440" s="136"/>
      <c r="J440" s="129"/>
      <c r="K440" s="355"/>
      <c r="L440" s="312"/>
      <c r="M440" s="342"/>
      <c r="N440" s="358"/>
    </row>
    <row r="441" spans="1:14" ht="16" thickTop="1">
      <c r="A441" s="327"/>
      <c r="B441" s="415"/>
      <c r="C441" s="418"/>
      <c r="D441" s="327"/>
      <c r="E441" s="428" t="s">
        <v>104</v>
      </c>
      <c r="F441" s="40"/>
      <c r="G441" s="26"/>
      <c r="H441" s="194" t="str">
        <f>HYPERLINK("http://gocook.dk/gocookbook/baconsandwich","Baconsandwich")</f>
        <v>Baconsandwich</v>
      </c>
      <c r="I441" s="370" t="s">
        <v>43</v>
      </c>
      <c r="J441" s="134"/>
      <c r="K441" s="355"/>
      <c r="L441" s="312"/>
      <c r="M441" s="342"/>
      <c r="N441" s="358"/>
    </row>
    <row r="442" spans="1:14" ht="15.5">
      <c r="A442" s="327"/>
      <c r="B442" s="415"/>
      <c r="C442" s="418"/>
      <c r="D442" s="327"/>
      <c r="E442" s="422"/>
      <c r="F442" s="19"/>
      <c r="H442" s="195" t="str">
        <f>HYPERLINK("http://gocook.dk/gocookbook/leverpostej-med-bacon-og-timian","Leverpostej med bacon og timian")</f>
        <v>Leverpostej med bacon og timian</v>
      </c>
      <c r="I442" s="351"/>
      <c r="J442" s="129"/>
      <c r="K442" s="355"/>
      <c r="L442" s="312"/>
      <c r="M442" s="342"/>
      <c r="N442" s="358"/>
    </row>
    <row r="443" spans="1:14" ht="12.5">
      <c r="A443" s="327"/>
      <c r="B443" s="415"/>
      <c r="C443" s="418"/>
      <c r="D443" s="327"/>
      <c r="E443" s="422"/>
      <c r="F443" s="19"/>
      <c r="H443" s="19"/>
      <c r="I443" s="351"/>
      <c r="J443" s="129"/>
      <c r="K443" s="355"/>
      <c r="L443" s="312"/>
      <c r="M443" s="342"/>
      <c r="N443" s="358"/>
    </row>
    <row r="444" spans="1:14" ht="12.5">
      <c r="A444" s="327"/>
      <c r="B444" s="415"/>
      <c r="C444" s="418"/>
      <c r="D444" s="327"/>
      <c r="E444" s="422"/>
      <c r="F444" s="19"/>
      <c r="H444" s="19"/>
      <c r="I444" s="351"/>
      <c r="J444" s="129"/>
      <c r="K444" s="355"/>
      <c r="L444" s="312"/>
      <c r="M444" s="342"/>
      <c r="N444" s="358"/>
    </row>
    <row r="445" spans="1:14" ht="23.25" customHeight="1" thickBot="1">
      <c r="A445" s="327"/>
      <c r="B445" s="415"/>
      <c r="C445" s="419"/>
      <c r="D445" s="327"/>
      <c r="E445" s="422"/>
      <c r="F445" s="19"/>
      <c r="H445" s="19"/>
      <c r="I445" s="352"/>
      <c r="J445" s="129"/>
      <c r="K445" s="356"/>
      <c r="L445" s="313"/>
      <c r="M445" s="362"/>
      <c r="N445" s="377"/>
    </row>
    <row r="446" spans="1:14" ht="16" thickBot="1">
      <c r="A446" s="327"/>
      <c r="B446" s="416" t="s">
        <v>12</v>
      </c>
      <c r="C446" s="417" t="s">
        <v>560</v>
      </c>
      <c r="D446" s="327"/>
      <c r="E446" s="122"/>
      <c r="F446" s="31" t="s">
        <v>307</v>
      </c>
      <c r="G446" s="32"/>
      <c r="H446" s="42"/>
      <c r="I446" s="132"/>
      <c r="J446" s="132"/>
      <c r="K446" s="133"/>
      <c r="L446" s="133"/>
      <c r="M446" s="164"/>
      <c r="N446" s="175"/>
    </row>
    <row r="447" spans="1:14" ht="17.25" customHeight="1" thickTop="1" thickBot="1">
      <c r="A447" s="327"/>
      <c r="B447" s="415"/>
      <c r="C447" s="418"/>
      <c r="D447" s="327"/>
      <c r="E447" s="421" t="s">
        <v>78</v>
      </c>
      <c r="F447" s="94" t="s">
        <v>563</v>
      </c>
      <c r="G447" s="18"/>
      <c r="H447" s="205"/>
      <c r="I447" s="363" t="s">
        <v>309</v>
      </c>
      <c r="J447" s="384" t="s">
        <v>308</v>
      </c>
      <c r="K447" s="353" t="s">
        <v>576</v>
      </c>
      <c r="L447" s="336" t="s">
        <v>591</v>
      </c>
      <c r="M447" s="339" t="s">
        <v>144</v>
      </c>
      <c r="N447" s="357">
        <v>1</v>
      </c>
    </row>
    <row r="448" spans="1:14" ht="31.5" thickTop="1">
      <c r="A448" s="327"/>
      <c r="B448" s="415"/>
      <c r="C448" s="418"/>
      <c r="D448" s="327"/>
      <c r="E448" s="422"/>
      <c r="F448" s="35" t="s">
        <v>310</v>
      </c>
      <c r="G448" s="60" t="str">
        <f>HYPERLINK("http://gocook.dk/gocook-tv/film-12-gorm-og-mikkel-i-hamsterhjulet-hvem-skal-loebe-laengst","Gorm og Mikkel i hamsterhjulet. Hvem skal løbe længst?")</f>
        <v>Gorm og Mikkel i hamsterhjulet. Hvem skal løbe længst?</v>
      </c>
      <c r="H448" s="206"/>
      <c r="I448" s="364"/>
      <c r="J448" s="385"/>
      <c r="K448" s="354"/>
      <c r="L448" s="337"/>
      <c r="M448" s="340"/>
      <c r="N448" s="358"/>
    </row>
    <row r="449" spans="1:14" ht="16" thickBot="1">
      <c r="A449" s="327"/>
      <c r="B449" s="415"/>
      <c r="C449" s="418"/>
      <c r="D449" s="327"/>
      <c r="E449" s="422"/>
      <c r="F449" s="15" t="s">
        <v>311</v>
      </c>
      <c r="G449" s="82"/>
      <c r="H449" s="206"/>
      <c r="I449" s="366"/>
      <c r="J449" s="410" t="s">
        <v>312</v>
      </c>
      <c r="K449" s="354"/>
      <c r="L449" s="337"/>
      <c r="M449" s="344"/>
      <c r="N449" s="358"/>
    </row>
    <row r="450" spans="1:14" ht="16.5" thickTop="1" thickBot="1">
      <c r="A450" s="327"/>
      <c r="B450" s="415"/>
      <c r="C450" s="418"/>
      <c r="D450" s="327"/>
      <c r="E450" s="422"/>
      <c r="F450" s="17" t="s">
        <v>313</v>
      </c>
      <c r="G450" s="82"/>
      <c r="I450" s="129"/>
      <c r="J450" s="385"/>
      <c r="K450" s="354"/>
      <c r="L450" s="337"/>
      <c r="M450" s="361" t="s">
        <v>150</v>
      </c>
      <c r="N450" s="358"/>
    </row>
    <row r="451" spans="1:14" ht="16" thickTop="1">
      <c r="A451" s="327"/>
      <c r="B451" s="415"/>
      <c r="C451" s="418"/>
      <c r="D451" s="327"/>
      <c r="E451" s="422"/>
      <c r="F451" s="63" t="s">
        <v>314</v>
      </c>
      <c r="G451" s="83"/>
      <c r="I451" s="129"/>
      <c r="J451" s="386"/>
      <c r="K451" s="354"/>
      <c r="L451" s="337"/>
      <c r="M451" s="340"/>
      <c r="N451" s="358"/>
    </row>
    <row r="452" spans="1:14" ht="25.5" customHeight="1" thickBot="1">
      <c r="A452" s="327"/>
      <c r="B452" s="415"/>
      <c r="C452" s="418"/>
      <c r="D452" s="327"/>
      <c r="E452" s="422"/>
      <c r="F452" s="35" t="s">
        <v>315</v>
      </c>
      <c r="G452" s="60" t="str">
        <f>HYPERLINK("http://gocook.dk/gocook-tv/film-13-hulemaend-paa-jagt-efter-soede-sager","Hulemænd på jagt efter søde sager")</f>
        <v>Hulemænd på jagt efter søde sager</v>
      </c>
      <c r="I452" s="129"/>
      <c r="J452" s="131"/>
      <c r="K452" s="354"/>
      <c r="L452" s="338"/>
      <c r="M452" s="344"/>
      <c r="N452" s="359"/>
    </row>
    <row r="453" spans="1:14" ht="31.5" thickBot="1">
      <c r="A453" s="327"/>
      <c r="B453" s="415"/>
      <c r="C453" s="418"/>
      <c r="D453" s="327"/>
      <c r="E453" s="422"/>
      <c r="F453" s="35" t="s">
        <v>316</v>
      </c>
      <c r="G453" s="60" t="str">
        <f>HYPERLINK("http://gocook.dk/gocook-tv/film-14-se-hvor-hurtigt-sukkeret-kommer-ud-i-mikkels-blod","Se hvor hurtigt sukkeret kommer ud i Mikkels blod")</f>
        <v>Se hvor hurtigt sukkeret kommer ud i Mikkels blod</v>
      </c>
      <c r="I453" s="129"/>
      <c r="J453" s="131"/>
      <c r="K453" s="355"/>
      <c r="L453" s="312"/>
      <c r="M453" s="341"/>
      <c r="N453" s="360"/>
    </row>
    <row r="454" spans="1:14" ht="47" thickTop="1">
      <c r="A454" s="327"/>
      <c r="B454" s="415"/>
      <c r="C454" s="418"/>
      <c r="D454" s="327"/>
      <c r="E454" s="124" t="s">
        <v>93</v>
      </c>
      <c r="F454" s="26"/>
      <c r="G454" s="40"/>
      <c r="H454" s="26"/>
      <c r="I454" s="390" t="s">
        <v>43</v>
      </c>
      <c r="J454" s="130"/>
      <c r="K454" s="355"/>
      <c r="L454" s="312"/>
      <c r="M454" s="342"/>
      <c r="N454" s="358"/>
    </row>
    <row r="455" spans="1:14" ht="12.5">
      <c r="A455" s="327"/>
      <c r="B455" s="415"/>
      <c r="C455" s="418"/>
      <c r="D455" s="327"/>
      <c r="E455" s="125"/>
      <c r="G455" s="19"/>
      <c r="I455" s="391"/>
      <c r="J455" s="131"/>
      <c r="K455" s="355"/>
      <c r="L455" s="312"/>
      <c r="M455" s="342"/>
      <c r="N455" s="358"/>
    </row>
    <row r="456" spans="1:14" ht="12.5">
      <c r="A456" s="327"/>
      <c r="B456" s="415"/>
      <c r="C456" s="418"/>
      <c r="D456" s="327"/>
      <c r="E456" s="125"/>
      <c r="G456" s="19"/>
      <c r="I456" s="391"/>
      <c r="J456" s="131"/>
      <c r="K456" s="355"/>
      <c r="L456" s="312"/>
      <c r="M456" s="342"/>
      <c r="N456" s="358"/>
    </row>
    <row r="457" spans="1:14" ht="12.5">
      <c r="A457" s="327"/>
      <c r="B457" s="415"/>
      <c r="C457" s="418"/>
      <c r="D457" s="327"/>
      <c r="E457" s="125"/>
      <c r="G457" s="19"/>
      <c r="I457" s="391"/>
      <c r="J457" s="131"/>
      <c r="K457" s="355"/>
      <c r="L457" s="312"/>
      <c r="M457" s="342"/>
      <c r="N457" s="358"/>
    </row>
    <row r="458" spans="1:14" ht="13" thickBot="1">
      <c r="A458" s="327"/>
      <c r="B458" s="415"/>
      <c r="C458" s="419"/>
      <c r="D458" s="327"/>
      <c r="E458" s="125"/>
      <c r="G458" s="19"/>
      <c r="I458" s="392"/>
      <c r="J458" s="131"/>
      <c r="K458" s="356"/>
      <c r="L458" s="313"/>
      <c r="M458" s="362"/>
      <c r="N458" s="377"/>
    </row>
    <row r="459" spans="1:14" ht="16" thickBot="1">
      <c r="A459" s="327"/>
      <c r="B459" s="416" t="s">
        <v>12</v>
      </c>
      <c r="C459" s="417" t="s">
        <v>560</v>
      </c>
      <c r="D459" s="327"/>
      <c r="E459" s="122"/>
      <c r="F459" s="31" t="s">
        <v>317</v>
      </c>
      <c r="G459" s="32"/>
      <c r="H459" s="42"/>
      <c r="I459" s="132"/>
      <c r="J459" s="132"/>
      <c r="K459" s="133"/>
      <c r="L459" s="133"/>
      <c r="M459" s="164"/>
      <c r="N459" s="175"/>
    </row>
    <row r="460" spans="1:14" ht="17.25" customHeight="1" thickTop="1" thickBot="1">
      <c r="A460" s="327"/>
      <c r="B460" s="415"/>
      <c r="C460" s="418"/>
      <c r="D460" s="327"/>
      <c r="E460" s="421" t="s">
        <v>318</v>
      </c>
      <c r="F460" s="94" t="s">
        <v>563</v>
      </c>
      <c r="H460" s="19"/>
      <c r="I460" s="350" t="s">
        <v>320</v>
      </c>
      <c r="J460" s="363" t="s">
        <v>319</v>
      </c>
      <c r="K460" s="353" t="s">
        <v>579</v>
      </c>
      <c r="L460" s="336" t="s">
        <v>596</v>
      </c>
      <c r="M460" s="339" t="s">
        <v>232</v>
      </c>
      <c r="N460" s="357">
        <v>1</v>
      </c>
    </row>
    <row r="461" spans="1:14" ht="12" customHeight="1" thickTop="1">
      <c r="A461" s="327"/>
      <c r="B461" s="415"/>
      <c r="C461" s="418"/>
      <c r="D461" s="327"/>
      <c r="E461" s="422"/>
      <c r="F461" s="34" t="s">
        <v>321</v>
      </c>
      <c r="H461" s="19"/>
      <c r="I461" s="351"/>
      <c r="J461" s="364"/>
      <c r="K461" s="354"/>
      <c r="L461" s="337"/>
      <c r="M461" s="340"/>
      <c r="N461" s="358"/>
    </row>
    <row r="462" spans="1:14" ht="15.5">
      <c r="A462" s="327"/>
      <c r="B462" s="415"/>
      <c r="C462" s="418"/>
      <c r="D462" s="327"/>
      <c r="E462" s="422"/>
      <c r="F462" s="84" t="s">
        <v>322</v>
      </c>
      <c r="G462" s="196" t="str">
        <f>HYPERLINK("http://gocook.dk/kokkeskolen/sovs-opbagt","Sovs-opbagt")</f>
        <v>Sovs-opbagt</v>
      </c>
      <c r="H462" s="19"/>
      <c r="I462" s="351"/>
      <c r="J462" s="364"/>
      <c r="K462" s="354"/>
      <c r="L462" s="337"/>
      <c r="M462" s="348" t="s">
        <v>323</v>
      </c>
      <c r="N462" s="358"/>
    </row>
    <row r="463" spans="1:14" ht="24.75" customHeight="1" thickBot="1">
      <c r="A463" s="327"/>
      <c r="B463" s="415"/>
      <c r="C463" s="418"/>
      <c r="D463" s="327"/>
      <c r="E463" s="422"/>
      <c r="F463" s="34" t="s">
        <v>67</v>
      </c>
      <c r="H463" s="19"/>
      <c r="I463" s="351"/>
      <c r="J463" s="366"/>
      <c r="K463" s="354"/>
      <c r="L463" s="338"/>
      <c r="M463" s="344"/>
      <c r="N463" s="359"/>
    </row>
    <row r="464" spans="1:14" ht="15.5">
      <c r="A464" s="327"/>
      <c r="B464" s="415"/>
      <c r="C464" s="418"/>
      <c r="D464" s="327"/>
      <c r="E464" s="422"/>
      <c r="F464" s="34" t="s">
        <v>324</v>
      </c>
      <c r="H464" s="19"/>
      <c r="I464" s="351"/>
      <c r="J464" s="129"/>
      <c r="K464" s="355"/>
      <c r="L464" s="312"/>
      <c r="M464" s="341"/>
      <c r="N464" s="360"/>
    </row>
    <row r="465" spans="1:14" ht="15.5">
      <c r="A465" s="327"/>
      <c r="B465" s="415"/>
      <c r="C465" s="418"/>
      <c r="D465" s="327"/>
      <c r="E465" s="422"/>
      <c r="F465" s="84" t="s">
        <v>325</v>
      </c>
      <c r="H465" s="19"/>
      <c r="I465" s="351"/>
      <c r="J465" s="129"/>
      <c r="K465" s="355"/>
      <c r="L465" s="312"/>
      <c r="M465" s="342"/>
      <c r="N465" s="358"/>
    </row>
    <row r="466" spans="1:14" ht="16" thickBot="1">
      <c r="A466" s="327"/>
      <c r="B466" s="415"/>
      <c r="C466" s="418"/>
      <c r="D466" s="327"/>
      <c r="E466" s="422"/>
      <c r="F466" s="84" t="s">
        <v>326</v>
      </c>
      <c r="G466" s="49" t="str">
        <f>HYPERLINK("http://gocook.dk/kokkeskolen/mornaysovs-0","Mornaysovs")</f>
        <v>Mornaysovs</v>
      </c>
      <c r="H466" s="19"/>
      <c r="I466" s="449"/>
      <c r="J466" s="129"/>
      <c r="K466" s="356"/>
      <c r="L466" s="312"/>
      <c r="M466" s="342"/>
      <c r="N466" s="358"/>
    </row>
    <row r="467" spans="1:14" ht="15.75" customHeight="1" thickTop="1">
      <c r="A467" s="327"/>
      <c r="B467" s="415"/>
      <c r="C467" s="418"/>
      <c r="D467" s="327"/>
      <c r="E467" s="428" t="s">
        <v>42</v>
      </c>
      <c r="F467" s="40"/>
      <c r="G467" s="26"/>
      <c r="H467" s="54" t="str">
        <f>HYPERLINK("http://gocook.dk/gocookbook/thousand-island-dressing","Thousand-island dressing")</f>
        <v>Thousand-island dressing</v>
      </c>
      <c r="I467" s="370" t="s">
        <v>43</v>
      </c>
      <c r="J467" s="134"/>
      <c r="K467" s="474" t="s">
        <v>575</v>
      </c>
      <c r="L467" s="336" t="s">
        <v>594</v>
      </c>
      <c r="M467" s="343" t="s">
        <v>181</v>
      </c>
      <c r="N467" s="376">
        <v>1</v>
      </c>
    </row>
    <row r="468" spans="1:14" ht="24.75" customHeight="1">
      <c r="A468" s="327"/>
      <c r="B468" s="415"/>
      <c r="C468" s="418"/>
      <c r="D468" s="327"/>
      <c r="E468" s="422"/>
      <c r="F468" s="19"/>
      <c r="H468" s="61" t="str">
        <f>HYPERLINK("http://gocook.dk/gocookbook/islandsk-skyr-isbjerg","Islandsk skyr isbjerg")</f>
        <v>Islandsk skyr isbjerg</v>
      </c>
      <c r="I468" s="351"/>
      <c r="J468" s="129"/>
      <c r="K468" s="354"/>
      <c r="L468" s="337"/>
      <c r="M468" s="340"/>
      <c r="N468" s="358"/>
    </row>
    <row r="469" spans="1:14" ht="15.5">
      <c r="A469" s="327"/>
      <c r="B469" s="415"/>
      <c r="C469" s="418"/>
      <c r="D469" s="327"/>
      <c r="E469" s="422"/>
      <c r="F469" s="19"/>
      <c r="H469" s="61" t="str">
        <f>HYPERLINK("http://gocook.dk/gocookbook/mornaysovs","Mornaysovs")</f>
        <v>Mornaysovs</v>
      </c>
      <c r="I469" s="351"/>
      <c r="J469" s="129"/>
      <c r="K469" s="354"/>
      <c r="L469" s="337"/>
      <c r="M469" s="348" t="s">
        <v>184</v>
      </c>
      <c r="N469" s="358"/>
    </row>
    <row r="470" spans="1:14" ht="15.5">
      <c r="A470" s="327"/>
      <c r="B470" s="415"/>
      <c r="C470" s="418"/>
      <c r="D470" s="327"/>
      <c r="E470" s="422"/>
      <c r="F470" s="19"/>
      <c r="H470" s="61" t="str">
        <f>HYPERLINK("http://gocook.dk/gocookbook/koldskaal","Koldskål")</f>
        <v>Koldskål</v>
      </c>
      <c r="I470" s="351"/>
      <c r="J470" s="129"/>
      <c r="K470" s="354"/>
      <c r="L470" s="337"/>
      <c r="M470" s="340"/>
      <c r="N470" s="358"/>
    </row>
    <row r="471" spans="1:14" ht="12.5">
      <c r="A471" s="327"/>
      <c r="B471" s="415"/>
      <c r="C471" s="418"/>
      <c r="D471" s="327"/>
      <c r="E471" s="422"/>
      <c r="F471" s="19"/>
      <c r="H471" s="19"/>
      <c r="I471" s="351"/>
      <c r="J471" s="129"/>
      <c r="K471" s="354"/>
      <c r="L471" s="337"/>
      <c r="M471" s="340"/>
      <c r="N471" s="358"/>
    </row>
    <row r="472" spans="1:14" ht="12.5">
      <c r="A472" s="327"/>
      <c r="B472" s="415"/>
      <c r="C472" s="418"/>
      <c r="D472" s="327"/>
      <c r="E472" s="422"/>
      <c r="F472" s="19"/>
      <c r="H472" s="19"/>
      <c r="I472" s="351"/>
      <c r="J472" s="129"/>
      <c r="K472" s="354"/>
      <c r="L472" s="337"/>
      <c r="M472" s="340"/>
      <c r="N472" s="358"/>
    </row>
    <row r="473" spans="1:14" ht="34" customHeight="1" thickBot="1">
      <c r="A473" s="327"/>
      <c r="B473" s="423"/>
      <c r="C473" s="420"/>
      <c r="D473" s="327"/>
      <c r="E473" s="429"/>
      <c r="F473" s="77"/>
      <c r="G473" s="78"/>
      <c r="H473" s="19"/>
      <c r="I473" s="449"/>
      <c r="J473" s="145"/>
      <c r="K473" s="378"/>
      <c r="L473" s="338"/>
      <c r="M473" s="344"/>
      <c r="N473" s="359"/>
    </row>
    <row r="474" spans="1:14" ht="16.5" thickTop="1" thickBot="1">
      <c r="A474" s="326" t="s">
        <v>327</v>
      </c>
      <c r="B474" s="414" t="s">
        <v>12</v>
      </c>
      <c r="C474" s="425" t="s">
        <v>560</v>
      </c>
      <c r="D474" s="326" t="s">
        <v>328</v>
      </c>
      <c r="E474" s="123"/>
      <c r="F474" s="56" t="s">
        <v>30</v>
      </c>
      <c r="G474" s="57"/>
      <c r="H474" s="58"/>
      <c r="I474" s="139"/>
      <c r="J474" s="139"/>
      <c r="K474" s="140"/>
      <c r="L474" s="182"/>
      <c r="M474" s="165"/>
      <c r="N474" s="176"/>
    </row>
    <row r="475" spans="1:14" ht="16.5" thickTop="1" thickBot="1">
      <c r="A475" s="327"/>
      <c r="B475" s="415"/>
      <c r="C475" s="418"/>
      <c r="D475" s="327"/>
      <c r="E475" s="430" t="s">
        <v>15</v>
      </c>
      <c r="F475" s="94" t="s">
        <v>563</v>
      </c>
      <c r="G475" s="85" t="str">
        <f>HYPERLINK("http://gocook.dk/kokkeskolen/vride-karklud-og-goere-bordet-rent","Vride karklud og gøre bordet rent")</f>
        <v>Vride karklud og gøre bordet rent</v>
      </c>
      <c r="H475" s="19"/>
      <c r="I475" s="350" t="s">
        <v>330</v>
      </c>
      <c r="J475" s="462" t="s">
        <v>329</v>
      </c>
      <c r="K475" s="453" t="s">
        <v>580</v>
      </c>
      <c r="L475" s="336" t="s">
        <v>30</v>
      </c>
      <c r="M475" s="339" t="s">
        <v>18</v>
      </c>
      <c r="N475" s="381">
        <v>1</v>
      </c>
    </row>
    <row r="476" spans="1:14" ht="16" thickTop="1">
      <c r="A476" s="327"/>
      <c r="B476" s="415"/>
      <c r="C476" s="418"/>
      <c r="D476" s="327"/>
      <c r="E476" s="415"/>
      <c r="F476" s="86" t="s">
        <v>331</v>
      </c>
      <c r="G476" s="55" t="str">
        <f>HYPERLINK("http://gocook.dk/kokkeskolen/vaske-haender","Vaske hænder")</f>
        <v>Vaske hænder</v>
      </c>
      <c r="H476" s="19"/>
      <c r="I476" s="460"/>
      <c r="J476" s="340"/>
      <c r="K476" s="354"/>
      <c r="L476" s="337"/>
      <c r="M476" s="340"/>
      <c r="N476" s="372"/>
    </row>
    <row r="477" spans="1:14" ht="15.5">
      <c r="A477" s="327"/>
      <c r="B477" s="415"/>
      <c r="C477" s="418"/>
      <c r="D477" s="327"/>
      <c r="E477" s="415"/>
      <c r="F477" s="86" t="s">
        <v>332</v>
      </c>
      <c r="G477" s="55" t="str">
        <f>HYPERLINK("http://gocook.dk/kokkeskolen/vaske-op","Vaske op")</f>
        <v>Vaske op</v>
      </c>
      <c r="H477" s="19"/>
      <c r="I477" s="352"/>
      <c r="J477" s="340"/>
      <c r="K477" s="354"/>
      <c r="L477" s="337"/>
      <c r="M477" s="340"/>
      <c r="N477" s="372"/>
    </row>
    <row r="478" spans="1:14" ht="15.5">
      <c r="A478" s="327"/>
      <c r="B478" s="415"/>
      <c r="C478" s="418"/>
      <c r="D478" s="327"/>
      <c r="E478" s="415"/>
      <c r="F478" s="86" t="s">
        <v>333</v>
      </c>
      <c r="G478" s="29" t="str">
        <f>HYPERLINK("http://gocook.dk/kokkeskolen/skridsikkert-skaerebraet","Skridsikkert skærebræt ")</f>
        <v xml:space="preserve">Skridsikkert skærebræt </v>
      </c>
      <c r="H478" s="19"/>
      <c r="I478" s="350" t="s">
        <v>334</v>
      </c>
      <c r="J478" s="344"/>
      <c r="K478" s="354"/>
      <c r="L478" s="337"/>
      <c r="M478" s="344"/>
      <c r="N478" s="372"/>
    </row>
    <row r="479" spans="1:14" ht="15.5" customHeight="1">
      <c r="A479" s="327"/>
      <c r="B479" s="415"/>
      <c r="C479" s="418"/>
      <c r="D479" s="327"/>
      <c r="E479" s="415"/>
      <c r="F479" s="86" t="s">
        <v>335</v>
      </c>
      <c r="G479" s="29" t="str">
        <f>HYPERLINK("http://gocook.dk/kokkeskolen/bordskraldespand","Bordskraldespand")</f>
        <v>Bordskraldespand</v>
      </c>
      <c r="H479" s="19"/>
      <c r="I479" s="460"/>
      <c r="J479" s="462" t="s">
        <v>336</v>
      </c>
      <c r="K479" s="354"/>
      <c r="L479" s="337"/>
      <c r="M479" s="282" t="s">
        <v>337</v>
      </c>
      <c r="N479" s="372"/>
    </row>
    <row r="480" spans="1:14" ht="15.5">
      <c r="A480" s="327"/>
      <c r="B480" s="415"/>
      <c r="C480" s="418"/>
      <c r="D480" s="327"/>
      <c r="E480" s="415"/>
      <c r="F480" s="86" t="s">
        <v>338</v>
      </c>
      <c r="G480" s="20"/>
      <c r="H480" s="19"/>
      <c r="I480" s="460"/>
      <c r="J480" s="340"/>
      <c r="K480" s="354"/>
      <c r="L480" s="337"/>
      <c r="M480" s="283"/>
      <c r="N480" s="372"/>
    </row>
    <row r="481" spans="1:14" ht="16" thickBot="1">
      <c r="A481" s="327"/>
      <c r="B481" s="415"/>
      <c r="C481" s="418"/>
      <c r="D481" s="327"/>
      <c r="E481" s="415"/>
      <c r="F481" s="86" t="s">
        <v>339</v>
      </c>
      <c r="G481" s="20"/>
      <c r="H481" s="19"/>
      <c r="I481" s="460"/>
      <c r="J481" s="340"/>
      <c r="K481" s="354"/>
      <c r="L481" s="338"/>
      <c r="M481" s="283"/>
      <c r="N481" s="382"/>
    </row>
    <row r="482" spans="1:14" ht="13" thickBot="1">
      <c r="A482" s="327"/>
      <c r="B482" s="415"/>
      <c r="C482" s="418"/>
      <c r="D482" s="327"/>
      <c r="E482" s="415"/>
      <c r="F482" s="20"/>
      <c r="G482" s="20"/>
      <c r="H482" s="19"/>
      <c r="I482" s="460"/>
      <c r="J482" s="344"/>
      <c r="K482" s="355"/>
      <c r="L482" s="312"/>
      <c r="M482" s="283"/>
      <c r="N482" s="371"/>
    </row>
    <row r="483" spans="1:14" ht="16" thickTop="1">
      <c r="A483" s="327"/>
      <c r="B483" s="415"/>
      <c r="C483" s="418"/>
      <c r="D483" s="327"/>
      <c r="E483" s="414" t="s">
        <v>104</v>
      </c>
      <c r="F483" s="40"/>
      <c r="G483" s="25"/>
      <c r="H483" s="87" t="str">
        <f>HYPERLINK("http://gocook.dk/gocookbook/chili-con-carne","Chili con carne")</f>
        <v>Chili con carne</v>
      </c>
      <c r="I483" s="370" t="s">
        <v>43</v>
      </c>
      <c r="J483" s="134"/>
      <c r="K483" s="355"/>
      <c r="L483" s="312"/>
      <c r="M483" s="284"/>
      <c r="N483" s="372"/>
    </row>
    <row r="484" spans="1:14" ht="15.5">
      <c r="A484" s="327"/>
      <c r="B484" s="415"/>
      <c r="C484" s="418"/>
      <c r="D484" s="327"/>
      <c r="E484" s="415"/>
      <c r="F484" s="19"/>
      <c r="G484" s="18"/>
      <c r="H484" s="49" t="str">
        <f>HYPERLINK("http://gocook.dk/gocookbook/frikadeller","Frikadeller ")</f>
        <v xml:space="preserve">Frikadeller </v>
      </c>
      <c r="I484" s="351"/>
      <c r="J484" s="129"/>
      <c r="K484" s="355"/>
      <c r="L484" s="312"/>
      <c r="M484" s="224"/>
      <c r="N484" s="372"/>
    </row>
    <row r="485" spans="1:14" ht="12.5">
      <c r="A485" s="327"/>
      <c r="B485" s="415"/>
      <c r="C485" s="418"/>
      <c r="D485" s="327"/>
      <c r="E485" s="415"/>
      <c r="F485" s="19"/>
      <c r="H485" s="19"/>
      <c r="I485" s="351"/>
      <c r="J485" s="129"/>
      <c r="K485" s="355"/>
      <c r="L485" s="312"/>
      <c r="M485" s="224"/>
      <c r="N485" s="372"/>
    </row>
    <row r="486" spans="1:14" ht="12.5">
      <c r="A486" s="327"/>
      <c r="B486" s="415"/>
      <c r="C486" s="418"/>
      <c r="D486" s="327"/>
      <c r="E486" s="415"/>
      <c r="F486" s="19"/>
      <c r="H486" s="19"/>
      <c r="I486" s="351"/>
      <c r="J486" s="129"/>
      <c r="K486" s="355"/>
      <c r="L486" s="312"/>
      <c r="M486" s="224"/>
      <c r="N486" s="372"/>
    </row>
    <row r="487" spans="1:14" ht="22.5" customHeight="1" thickBot="1">
      <c r="A487" s="327"/>
      <c r="B487" s="415"/>
      <c r="C487" s="419"/>
      <c r="D487" s="327"/>
      <c r="E487" s="415"/>
      <c r="F487" s="19"/>
      <c r="H487" s="19"/>
      <c r="I487" s="352"/>
      <c r="J487" s="129"/>
      <c r="K487" s="356"/>
      <c r="L487" s="313"/>
      <c r="M487" s="277"/>
      <c r="N487" s="374"/>
    </row>
    <row r="488" spans="1:14" ht="16" thickBot="1">
      <c r="A488" s="327"/>
      <c r="B488" s="416" t="s">
        <v>12</v>
      </c>
      <c r="C488" s="417" t="s">
        <v>560</v>
      </c>
      <c r="D488" s="327"/>
      <c r="E488" s="122"/>
      <c r="F488" s="31" t="s">
        <v>340</v>
      </c>
      <c r="G488" s="32"/>
      <c r="H488" s="42"/>
      <c r="I488" s="132"/>
      <c r="J488" s="132"/>
      <c r="K488" s="133"/>
      <c r="L488" s="133"/>
      <c r="M488" s="164"/>
      <c r="N488" s="175"/>
    </row>
    <row r="489" spans="1:14" ht="17.25" customHeight="1" thickTop="1" thickBot="1">
      <c r="A489" s="327"/>
      <c r="B489" s="415"/>
      <c r="C489" s="418"/>
      <c r="D489" s="327"/>
      <c r="E489" s="421" t="s">
        <v>15</v>
      </c>
      <c r="F489" s="94" t="s">
        <v>563</v>
      </c>
      <c r="H489" s="19"/>
      <c r="I489" s="214"/>
      <c r="J489" s="471" t="s">
        <v>341</v>
      </c>
      <c r="K489" s="353" t="s">
        <v>581</v>
      </c>
      <c r="L489" s="336" t="s">
        <v>591</v>
      </c>
      <c r="M489" s="339" t="s">
        <v>107</v>
      </c>
      <c r="N489" s="357">
        <v>2</v>
      </c>
    </row>
    <row r="490" spans="1:14" ht="16" thickTop="1">
      <c r="A490" s="327"/>
      <c r="B490" s="415"/>
      <c r="C490" s="418"/>
      <c r="D490" s="327"/>
      <c r="E490" s="422"/>
      <c r="F490" s="34" t="s">
        <v>342</v>
      </c>
      <c r="H490" s="19"/>
      <c r="I490" s="215"/>
      <c r="J490" s="472"/>
      <c r="K490" s="354"/>
      <c r="L490" s="337"/>
      <c r="M490" s="340"/>
      <c r="N490" s="358"/>
    </row>
    <row r="491" spans="1:14" ht="22.5" customHeight="1">
      <c r="A491" s="327"/>
      <c r="B491" s="415"/>
      <c r="C491" s="418"/>
      <c r="D491" s="327"/>
      <c r="E491" s="422"/>
      <c r="F491" s="34" t="s">
        <v>108</v>
      </c>
      <c r="H491" s="19"/>
      <c r="I491" s="215"/>
      <c r="J491" s="363" t="s">
        <v>343</v>
      </c>
      <c r="K491" s="354"/>
      <c r="L491" s="337"/>
      <c r="M491" s="340"/>
      <c r="N491" s="358"/>
    </row>
    <row r="492" spans="1:14" ht="15.5">
      <c r="A492" s="327"/>
      <c r="B492" s="415"/>
      <c r="C492" s="418"/>
      <c r="D492" s="327"/>
      <c r="E492" s="422"/>
      <c r="F492" s="34" t="s">
        <v>344</v>
      </c>
      <c r="H492" s="19"/>
      <c r="I492" s="215"/>
      <c r="J492" s="364"/>
      <c r="K492" s="354"/>
      <c r="L492" s="337"/>
      <c r="M492" s="348" t="s">
        <v>111</v>
      </c>
      <c r="N492" s="358"/>
    </row>
    <row r="493" spans="1:14" ht="15.5">
      <c r="A493" s="327"/>
      <c r="B493" s="415"/>
      <c r="C493" s="418"/>
      <c r="D493" s="327"/>
      <c r="E493" s="422"/>
      <c r="F493" s="34" t="s">
        <v>345</v>
      </c>
      <c r="H493" s="19"/>
      <c r="I493" s="215"/>
      <c r="J493" s="366"/>
      <c r="K493" s="354"/>
      <c r="L493" s="337"/>
      <c r="M493" s="340"/>
      <c r="N493" s="358"/>
    </row>
    <row r="494" spans="1:14" ht="16" thickBot="1">
      <c r="A494" s="327"/>
      <c r="B494" s="415"/>
      <c r="C494" s="418"/>
      <c r="D494" s="327"/>
      <c r="E494" s="422"/>
      <c r="F494" s="34" t="s">
        <v>346</v>
      </c>
      <c r="H494" s="19"/>
      <c r="I494" s="136"/>
      <c r="J494" s="129"/>
      <c r="K494" s="354"/>
      <c r="L494" s="338"/>
      <c r="M494" s="344"/>
      <c r="N494" s="359"/>
    </row>
    <row r="495" spans="1:14" ht="15.5">
      <c r="A495" s="327"/>
      <c r="B495" s="415"/>
      <c r="C495" s="418"/>
      <c r="D495" s="327"/>
      <c r="E495" s="422"/>
      <c r="F495" s="34" t="s">
        <v>347</v>
      </c>
      <c r="H495" s="19"/>
      <c r="I495" s="136"/>
      <c r="J495" s="129"/>
      <c r="K495" s="355"/>
      <c r="L495" s="312"/>
      <c r="M495" s="341"/>
      <c r="N495" s="360"/>
    </row>
    <row r="496" spans="1:14" ht="16" thickBot="1">
      <c r="A496" s="327"/>
      <c r="B496" s="415"/>
      <c r="C496" s="418"/>
      <c r="D496" s="327"/>
      <c r="E496" s="422"/>
      <c r="F496" s="34" t="s">
        <v>348</v>
      </c>
      <c r="H496" s="19"/>
      <c r="I496" s="136"/>
      <c r="J496" s="129"/>
      <c r="K496" s="355"/>
      <c r="L496" s="312"/>
      <c r="M496" s="342"/>
      <c r="N496" s="358"/>
    </row>
    <row r="497" spans="1:14" ht="16" thickTop="1">
      <c r="A497" s="327"/>
      <c r="B497" s="415"/>
      <c r="C497" s="418"/>
      <c r="D497" s="327"/>
      <c r="E497" s="428" t="s">
        <v>104</v>
      </c>
      <c r="F497" s="40"/>
      <c r="G497" s="26"/>
      <c r="H497" s="41" t="str">
        <f>HYPERLINK("http://gocook.dk/gocookbook/krydder-boeffer-med-nudelsalat","Krydder-bøffer med nuddelsalat")</f>
        <v>Krydder-bøffer med nuddelsalat</v>
      </c>
      <c r="I497" s="370" t="s">
        <v>43</v>
      </c>
      <c r="J497" s="134"/>
      <c r="K497" s="355"/>
      <c r="L497" s="312"/>
      <c r="M497" s="342"/>
      <c r="N497" s="358"/>
    </row>
    <row r="498" spans="1:14" ht="15.5">
      <c r="A498" s="327"/>
      <c r="B498" s="415"/>
      <c r="C498" s="418"/>
      <c r="D498" s="327"/>
      <c r="E498" s="422"/>
      <c r="F498" s="19"/>
      <c r="H498" s="88" t="str">
        <f>HYPERLINK("http://gocook.dk/gocookbook/boefsandwich","Bøf-sandwich")</f>
        <v>Bøf-sandwich</v>
      </c>
      <c r="I498" s="351"/>
      <c r="J498" s="129"/>
      <c r="K498" s="355"/>
      <c r="L498" s="312"/>
      <c r="M498" s="342"/>
      <c r="N498" s="358"/>
    </row>
    <row r="499" spans="1:14" ht="15.5">
      <c r="A499" s="327"/>
      <c r="B499" s="415"/>
      <c r="C499" s="418"/>
      <c r="D499" s="327"/>
      <c r="E499" s="422"/>
      <c r="F499" s="19"/>
      <c r="H499" s="55" t="str">
        <f>HYPERLINK("http://gocook.dk/gocookbook/broedmuffins","Brødmuffins")</f>
        <v>Brødmuffins</v>
      </c>
      <c r="I499" s="351"/>
      <c r="J499" s="129"/>
      <c r="K499" s="355"/>
      <c r="L499" s="312"/>
      <c r="M499" s="342"/>
      <c r="N499" s="358"/>
    </row>
    <row r="500" spans="1:14" ht="12.5">
      <c r="A500" s="327"/>
      <c r="B500" s="415"/>
      <c r="C500" s="418"/>
      <c r="D500" s="327"/>
      <c r="E500" s="422"/>
      <c r="F500" s="19"/>
      <c r="H500" s="19"/>
      <c r="I500" s="351"/>
      <c r="J500" s="129"/>
      <c r="K500" s="355"/>
      <c r="L500" s="312"/>
      <c r="M500" s="342"/>
      <c r="N500" s="358"/>
    </row>
    <row r="501" spans="1:14" ht="13" thickBot="1">
      <c r="A501" s="327"/>
      <c r="B501" s="415"/>
      <c r="C501" s="419"/>
      <c r="D501" s="327"/>
      <c r="E501" s="422"/>
      <c r="F501" s="19"/>
      <c r="H501" s="19"/>
      <c r="I501" s="352"/>
      <c r="J501" s="129"/>
      <c r="K501" s="356"/>
      <c r="L501" s="313"/>
      <c r="M501" s="362"/>
      <c r="N501" s="377"/>
    </row>
    <row r="502" spans="1:14" ht="16" thickBot="1">
      <c r="A502" s="327"/>
      <c r="B502" s="416" t="s">
        <v>12</v>
      </c>
      <c r="C502" s="417" t="s">
        <v>560</v>
      </c>
      <c r="D502" s="327"/>
      <c r="E502" s="122"/>
      <c r="F502" s="31" t="s">
        <v>349</v>
      </c>
      <c r="G502" s="32"/>
      <c r="H502" s="42"/>
      <c r="I502" s="132"/>
      <c r="J502" s="132"/>
      <c r="K502" s="133"/>
      <c r="L502" s="133"/>
      <c r="M502" s="164"/>
      <c r="N502" s="175"/>
    </row>
    <row r="503" spans="1:14" ht="17.25" customHeight="1" thickTop="1" thickBot="1">
      <c r="A503" s="327"/>
      <c r="B503" s="415"/>
      <c r="C503" s="418"/>
      <c r="D503" s="327"/>
      <c r="E503" s="434" t="s">
        <v>78</v>
      </c>
      <c r="F503" s="94" t="s">
        <v>563</v>
      </c>
      <c r="G503" s="18"/>
      <c r="I503" s="129"/>
      <c r="J503" s="384" t="s">
        <v>350</v>
      </c>
      <c r="K503" s="353" t="s">
        <v>581</v>
      </c>
      <c r="L503" s="336" t="s">
        <v>591</v>
      </c>
      <c r="M503" s="339" t="s">
        <v>144</v>
      </c>
      <c r="N503" s="357">
        <v>1</v>
      </c>
    </row>
    <row r="504" spans="1:14" ht="16" thickTop="1">
      <c r="A504" s="327"/>
      <c r="B504" s="415"/>
      <c r="C504" s="418"/>
      <c r="D504" s="327"/>
      <c r="E504" s="433"/>
      <c r="F504" s="43" t="s">
        <v>47</v>
      </c>
      <c r="G504" s="19"/>
      <c r="I504" s="129"/>
      <c r="J504" s="385"/>
      <c r="K504" s="354"/>
      <c r="L504" s="337"/>
      <c r="M504" s="340"/>
      <c r="N504" s="358"/>
    </row>
    <row r="505" spans="1:14" ht="33" customHeight="1">
      <c r="A505" s="327"/>
      <c r="B505" s="415"/>
      <c r="C505" s="418"/>
      <c r="D505" s="327"/>
      <c r="E505" s="433"/>
      <c r="F505" s="43" t="s">
        <v>48</v>
      </c>
      <c r="G505" s="19"/>
      <c r="I505" s="129"/>
      <c r="J505" s="385"/>
      <c r="K505" s="354"/>
      <c r="L505" s="337"/>
      <c r="M505" s="344"/>
      <c r="N505" s="358"/>
    </row>
    <row r="506" spans="1:14" ht="15.5">
      <c r="A506" s="327"/>
      <c r="B506" s="415"/>
      <c r="C506" s="418"/>
      <c r="D506" s="327"/>
      <c r="E506" s="433"/>
      <c r="F506" s="22" t="s">
        <v>51</v>
      </c>
      <c r="G506" s="19"/>
      <c r="I506" s="129"/>
      <c r="J506" s="410" t="s">
        <v>351</v>
      </c>
      <c r="K506" s="354"/>
      <c r="L506" s="337"/>
      <c r="M506" s="361" t="s">
        <v>150</v>
      </c>
      <c r="N506" s="358"/>
    </row>
    <row r="507" spans="1:14" ht="15.5">
      <c r="A507" s="327"/>
      <c r="B507" s="415"/>
      <c r="C507" s="418"/>
      <c r="D507" s="327"/>
      <c r="E507" s="433"/>
      <c r="F507" s="22" t="s">
        <v>352</v>
      </c>
      <c r="G507" s="19"/>
      <c r="I507" s="129"/>
      <c r="J507" s="385"/>
      <c r="K507" s="354"/>
      <c r="L507" s="337"/>
      <c r="M507" s="340"/>
      <c r="N507" s="358"/>
    </row>
    <row r="508" spans="1:14" ht="24" customHeight="1" thickBot="1">
      <c r="A508" s="327"/>
      <c r="B508" s="415"/>
      <c r="C508" s="418"/>
      <c r="D508" s="327"/>
      <c r="E508" s="433"/>
      <c r="G508" s="19"/>
      <c r="I508" s="129"/>
      <c r="J508" s="385"/>
      <c r="K508" s="354"/>
      <c r="L508" s="338"/>
      <c r="M508" s="344"/>
      <c r="N508" s="359"/>
    </row>
    <row r="509" spans="1:14" ht="16" thickTop="1">
      <c r="A509" s="327"/>
      <c r="B509" s="415"/>
      <c r="C509" s="418"/>
      <c r="D509" s="327"/>
      <c r="E509" s="432" t="s">
        <v>42</v>
      </c>
      <c r="F509" s="26"/>
      <c r="G509" s="89"/>
      <c r="H509" s="194" t="str">
        <f>HYPERLINK("http://gocook.dk/gocookbook/spaghetti-med-koedsovs","Spaghetti med kødsovs")</f>
        <v>Spaghetti med kødsovs</v>
      </c>
      <c r="I509" s="390" t="s">
        <v>43</v>
      </c>
      <c r="J509" s="130"/>
      <c r="K509" s="355"/>
      <c r="L509" s="312"/>
      <c r="M509" s="341"/>
      <c r="N509" s="360"/>
    </row>
    <row r="510" spans="1:14" ht="12.5">
      <c r="A510" s="327"/>
      <c r="B510" s="415"/>
      <c r="C510" s="418"/>
      <c r="D510" s="327"/>
      <c r="E510" s="433"/>
      <c r="G510" s="19"/>
      <c r="I510" s="391"/>
      <c r="J510" s="131"/>
      <c r="K510" s="355"/>
      <c r="L510" s="312"/>
      <c r="M510" s="342"/>
      <c r="N510" s="358"/>
    </row>
    <row r="511" spans="1:14" ht="12.5">
      <c r="A511" s="327"/>
      <c r="B511" s="415"/>
      <c r="C511" s="418"/>
      <c r="D511" s="327"/>
      <c r="E511" s="433"/>
      <c r="G511" s="19"/>
      <c r="I511" s="391"/>
      <c r="J511" s="131"/>
      <c r="K511" s="355"/>
      <c r="L511" s="312"/>
      <c r="M511" s="342"/>
      <c r="N511" s="358"/>
    </row>
    <row r="512" spans="1:14" ht="12.5">
      <c r="A512" s="327"/>
      <c r="B512" s="415"/>
      <c r="C512" s="418"/>
      <c r="D512" s="327"/>
      <c r="E512" s="433"/>
      <c r="G512" s="19"/>
      <c r="I512" s="391"/>
      <c r="J512" s="131"/>
      <c r="K512" s="355"/>
      <c r="L512" s="312"/>
      <c r="M512" s="342"/>
      <c r="N512" s="358"/>
    </row>
    <row r="513" spans="1:14" ht="24" customHeight="1" thickBot="1">
      <c r="A513" s="327"/>
      <c r="B513" s="415"/>
      <c r="C513" s="419"/>
      <c r="D513" s="327"/>
      <c r="E513" s="433"/>
      <c r="G513" s="19"/>
      <c r="I513" s="392"/>
      <c r="J513" s="131"/>
      <c r="K513" s="356"/>
      <c r="L513" s="313"/>
      <c r="M513" s="362"/>
      <c r="N513" s="377"/>
    </row>
    <row r="514" spans="1:14" ht="16" thickBot="1">
      <c r="A514" s="327"/>
      <c r="B514" s="416" t="s">
        <v>12</v>
      </c>
      <c r="C514" s="417" t="s">
        <v>560</v>
      </c>
      <c r="D514" s="327"/>
      <c r="E514" s="122"/>
      <c r="F514" s="31" t="s">
        <v>353</v>
      </c>
      <c r="G514" s="32"/>
      <c r="H514" s="42"/>
      <c r="I514" s="132"/>
      <c r="J514" s="132"/>
      <c r="K514" s="133"/>
      <c r="L514" s="133"/>
      <c r="M514" s="164"/>
      <c r="N514" s="175"/>
    </row>
    <row r="515" spans="1:14" ht="17.25" customHeight="1" thickTop="1" thickBot="1">
      <c r="A515" s="327"/>
      <c r="B515" s="415"/>
      <c r="C515" s="418"/>
      <c r="D515" s="327"/>
      <c r="E515" s="421" t="s">
        <v>78</v>
      </c>
      <c r="F515" s="17" t="s">
        <v>354</v>
      </c>
      <c r="H515" s="19"/>
      <c r="I515" s="350" t="s">
        <v>356</v>
      </c>
      <c r="J515" s="363" t="s">
        <v>355</v>
      </c>
      <c r="K515" s="353" t="s">
        <v>581</v>
      </c>
      <c r="L515" s="336" t="s">
        <v>591</v>
      </c>
      <c r="M515" s="339" t="s">
        <v>144</v>
      </c>
      <c r="N515" s="357">
        <v>1</v>
      </c>
    </row>
    <row r="516" spans="1:14" ht="16" thickTop="1">
      <c r="A516" s="327"/>
      <c r="B516" s="415"/>
      <c r="C516" s="418"/>
      <c r="D516" s="327"/>
      <c r="E516" s="422"/>
      <c r="F516" s="43" t="s">
        <v>357</v>
      </c>
      <c r="H516" s="19"/>
      <c r="I516" s="351"/>
      <c r="J516" s="364"/>
      <c r="K516" s="354"/>
      <c r="L516" s="337"/>
      <c r="M516" s="340"/>
      <c r="N516" s="358"/>
    </row>
    <row r="517" spans="1:14" ht="37.5" customHeight="1">
      <c r="A517" s="327"/>
      <c r="B517" s="415"/>
      <c r="C517" s="418"/>
      <c r="D517" s="327"/>
      <c r="E517" s="422"/>
      <c r="F517" s="43" t="s">
        <v>358</v>
      </c>
      <c r="H517" s="19"/>
      <c r="I517" s="351"/>
      <c r="J517" s="366"/>
      <c r="K517" s="354"/>
      <c r="L517" s="337"/>
      <c r="M517" s="344"/>
      <c r="N517" s="358"/>
    </row>
    <row r="518" spans="1:14" ht="15.5">
      <c r="A518" s="327"/>
      <c r="B518" s="415"/>
      <c r="C518" s="418"/>
      <c r="D518" s="327"/>
      <c r="E518" s="422"/>
      <c r="F518" s="43" t="s">
        <v>359</v>
      </c>
      <c r="H518" s="19"/>
      <c r="I518" s="350" t="s">
        <v>360</v>
      </c>
      <c r="J518" s="129"/>
      <c r="K518" s="354"/>
      <c r="L518" s="337"/>
      <c r="M518" s="361" t="s">
        <v>150</v>
      </c>
      <c r="N518" s="358"/>
    </row>
    <row r="519" spans="1:14" ht="15.5">
      <c r="A519" s="327"/>
      <c r="B519" s="415"/>
      <c r="C519" s="418"/>
      <c r="D519" s="327"/>
      <c r="E519" s="422"/>
      <c r="F519" s="43" t="s">
        <v>361</v>
      </c>
      <c r="H519" s="19"/>
      <c r="I519" s="351"/>
      <c r="J519" s="129"/>
      <c r="K519" s="354"/>
      <c r="L519" s="337"/>
      <c r="M519" s="340"/>
      <c r="N519" s="358"/>
    </row>
    <row r="520" spans="1:14" ht="21.75" customHeight="1" thickBot="1">
      <c r="A520" s="327"/>
      <c r="B520" s="415"/>
      <c r="C520" s="418"/>
      <c r="D520" s="327"/>
      <c r="E520" s="422"/>
      <c r="F520" s="43" t="s">
        <v>362</v>
      </c>
      <c r="H520" s="19"/>
      <c r="I520" s="351"/>
      <c r="J520" s="129"/>
      <c r="K520" s="354"/>
      <c r="L520" s="338"/>
      <c r="M520" s="344"/>
      <c r="N520" s="359"/>
    </row>
    <row r="521" spans="1:14" ht="16" thickBot="1">
      <c r="A521" s="327"/>
      <c r="B521" s="415"/>
      <c r="C521" s="418"/>
      <c r="D521" s="327"/>
      <c r="E521" s="422"/>
      <c r="F521" s="43" t="s">
        <v>363</v>
      </c>
      <c r="H521" s="19"/>
      <c r="I521" s="351"/>
      <c r="J521" s="129"/>
      <c r="K521" s="355"/>
      <c r="L521" s="312"/>
      <c r="M521" s="341"/>
      <c r="N521" s="360"/>
    </row>
    <row r="522" spans="1:14" ht="16" thickTop="1">
      <c r="A522" s="327"/>
      <c r="B522" s="415"/>
      <c r="C522" s="418"/>
      <c r="D522" s="327"/>
      <c r="E522" s="428" t="s">
        <v>104</v>
      </c>
      <c r="F522" s="40"/>
      <c r="G522" s="26"/>
      <c r="H522" s="194" t="str">
        <f>HYPERLINK("http://gocook.dk/gocookbook/danske-skate-sliders","Danske skate sliders")</f>
        <v>Danske skate sliders</v>
      </c>
      <c r="I522" s="370" t="s">
        <v>43</v>
      </c>
      <c r="J522" s="134"/>
      <c r="K522" s="355"/>
      <c r="L522" s="312"/>
      <c r="M522" s="342"/>
      <c r="N522" s="358"/>
    </row>
    <row r="523" spans="1:14" ht="15.5">
      <c r="A523" s="327"/>
      <c r="B523" s="415"/>
      <c r="C523" s="418"/>
      <c r="D523" s="327"/>
      <c r="E523" s="422"/>
      <c r="F523" s="19"/>
      <c r="H523" s="195" t="str">
        <f>HYPERLINK("http://gocook.dk/gocookbook/lasagne-med-boenner","Lasagne med bønner")</f>
        <v>Lasagne med bønner</v>
      </c>
      <c r="I523" s="351"/>
      <c r="J523" s="129"/>
      <c r="K523" s="355"/>
      <c r="L523" s="312"/>
      <c r="M523" s="342"/>
      <c r="N523" s="358"/>
    </row>
    <row r="524" spans="1:14" ht="12.5">
      <c r="A524" s="327"/>
      <c r="B524" s="415"/>
      <c r="C524" s="418"/>
      <c r="D524" s="327"/>
      <c r="E524" s="422"/>
      <c r="F524" s="19"/>
      <c r="H524" s="19"/>
      <c r="I524" s="351"/>
      <c r="J524" s="129"/>
      <c r="K524" s="355"/>
      <c r="L524" s="312"/>
      <c r="M524" s="342"/>
      <c r="N524" s="358"/>
    </row>
    <row r="525" spans="1:14" ht="12.5">
      <c r="A525" s="327"/>
      <c r="B525" s="415"/>
      <c r="C525" s="418"/>
      <c r="D525" s="327"/>
      <c r="E525" s="422"/>
      <c r="F525" s="19"/>
      <c r="H525" s="19"/>
      <c r="I525" s="351"/>
      <c r="J525" s="129"/>
      <c r="K525" s="355"/>
      <c r="L525" s="312"/>
      <c r="M525" s="342"/>
      <c r="N525" s="358"/>
    </row>
    <row r="526" spans="1:14" ht="13" thickBot="1">
      <c r="A526" s="327"/>
      <c r="B526" s="423"/>
      <c r="C526" s="420"/>
      <c r="D526" s="327"/>
      <c r="E526" s="429"/>
      <c r="F526" s="77"/>
      <c r="G526" s="78"/>
      <c r="H526" s="77"/>
      <c r="I526" s="449"/>
      <c r="J526" s="145"/>
      <c r="K526" s="459"/>
      <c r="L526" s="349"/>
      <c r="M526" s="473"/>
      <c r="N526" s="484"/>
    </row>
    <row r="527" spans="1:14" ht="16.5" thickTop="1" thickBot="1">
      <c r="A527" s="326" t="s">
        <v>364</v>
      </c>
      <c r="B527" s="414" t="s">
        <v>12</v>
      </c>
      <c r="C527" s="425" t="s">
        <v>560</v>
      </c>
      <c r="D527" s="326" t="s">
        <v>365</v>
      </c>
      <c r="E527" s="123"/>
      <c r="F527" s="56" t="s">
        <v>366</v>
      </c>
      <c r="G527" s="57"/>
      <c r="H527" s="58"/>
      <c r="I527" s="139"/>
      <c r="J527" s="139"/>
      <c r="K527" s="140"/>
      <c r="L527" s="140"/>
      <c r="M527" s="165"/>
      <c r="N527" s="176"/>
    </row>
    <row r="528" spans="1:14" ht="17.25" customHeight="1" thickTop="1" thickBot="1">
      <c r="A528" s="327"/>
      <c r="B528" s="415"/>
      <c r="C528" s="418"/>
      <c r="D528" s="327"/>
      <c r="E528" s="430" t="s">
        <v>78</v>
      </c>
      <c r="F528" s="94" t="s">
        <v>563</v>
      </c>
      <c r="H528" s="19"/>
      <c r="I528" s="350" t="s">
        <v>368</v>
      </c>
      <c r="J528" s="363" t="s">
        <v>367</v>
      </c>
      <c r="K528" s="353" t="s">
        <v>582</v>
      </c>
      <c r="L528" s="336" t="s">
        <v>30</v>
      </c>
      <c r="M528" s="339" t="s">
        <v>18</v>
      </c>
      <c r="N528" s="381">
        <v>1</v>
      </c>
    </row>
    <row r="529" spans="1:14" ht="16" thickTop="1">
      <c r="A529" s="327"/>
      <c r="B529" s="415"/>
      <c r="C529" s="418"/>
      <c r="D529" s="327"/>
      <c r="E529" s="415"/>
      <c r="F529" s="34" t="s">
        <v>369</v>
      </c>
      <c r="G529" s="90" t="str">
        <f>HYPERLINK("http://gocook.dk/kokkeskolen/vaske-haender","Vaske hænder")</f>
        <v>Vaske hænder</v>
      </c>
      <c r="H529" s="19"/>
      <c r="I529" s="351"/>
      <c r="J529" s="364"/>
      <c r="K529" s="354"/>
      <c r="L529" s="337"/>
      <c r="M529" s="340"/>
      <c r="N529" s="372"/>
    </row>
    <row r="530" spans="1:14" ht="15.5">
      <c r="A530" s="327"/>
      <c r="B530" s="415"/>
      <c r="C530" s="418"/>
      <c r="D530" s="327"/>
      <c r="E530" s="415"/>
      <c r="F530" s="34" t="s">
        <v>332</v>
      </c>
      <c r="G530" s="90" t="str">
        <f>HYPERLINK("http://gocook.dk/kokkeskolen/vaske-op","Vaske op")</f>
        <v>Vaske op</v>
      </c>
      <c r="H530" s="19"/>
      <c r="I530" s="351"/>
      <c r="J530" s="366"/>
      <c r="K530" s="354"/>
      <c r="L530" s="337"/>
      <c r="M530" s="340"/>
      <c r="N530" s="372"/>
    </row>
    <row r="531" spans="1:14" ht="20.25" customHeight="1">
      <c r="A531" s="327"/>
      <c r="B531" s="415"/>
      <c r="C531" s="418"/>
      <c r="D531" s="327"/>
      <c r="E531" s="415"/>
      <c r="F531" s="84" t="s">
        <v>333</v>
      </c>
      <c r="G531" s="29" t="str">
        <f>HYPERLINK("http://gocook.dk/kokkeskolen/kokkekniv-holde-paa-den","Kokkekniv, hold på den")</f>
        <v>Kokkekniv, hold på den</v>
      </c>
      <c r="H531" s="19"/>
      <c r="I531" s="352"/>
      <c r="J531" s="129"/>
      <c r="K531" s="354"/>
      <c r="L531" s="337"/>
      <c r="M531" s="344"/>
      <c r="N531" s="372"/>
    </row>
    <row r="532" spans="1:14" ht="15.5">
      <c r="A532" s="327"/>
      <c r="B532" s="415"/>
      <c r="C532" s="418"/>
      <c r="D532" s="327"/>
      <c r="E532" s="415"/>
      <c r="F532" s="84" t="s">
        <v>335</v>
      </c>
      <c r="G532" s="91" t="str">
        <f>HYPERLINK("http://gocook.dk/kokkeskolen/bordskraldespand","Bordskraldespand")</f>
        <v>Bordskraldespand</v>
      </c>
      <c r="H532" s="19"/>
      <c r="I532" s="136"/>
      <c r="J532" s="129"/>
      <c r="K532" s="354"/>
      <c r="L532" s="337"/>
      <c r="M532" s="348" t="s">
        <v>337</v>
      </c>
      <c r="N532" s="372"/>
    </row>
    <row r="533" spans="1:14" ht="15.5">
      <c r="A533" s="327"/>
      <c r="B533" s="415"/>
      <c r="C533" s="418"/>
      <c r="D533" s="327"/>
      <c r="E533" s="415"/>
      <c r="F533" s="84" t="s">
        <v>370</v>
      </c>
      <c r="G533" s="91" t="str">
        <f>HYPERLINK("http://gocook.dk/kokkeskolen/vride-karklud-og-goere-bordet-rent","Vride karklud og gøre bordet rent")</f>
        <v>Vride karklud og gøre bordet rent</v>
      </c>
      <c r="H533" s="19"/>
      <c r="I533" s="136"/>
      <c r="J533" s="129"/>
      <c r="K533" s="354"/>
      <c r="L533" s="337"/>
      <c r="M533" s="340"/>
      <c r="N533" s="372"/>
    </row>
    <row r="534" spans="1:14" ht="37.5" customHeight="1" thickBot="1">
      <c r="A534" s="327"/>
      <c r="B534" s="415"/>
      <c r="C534" s="418"/>
      <c r="D534" s="327"/>
      <c r="E534" s="415"/>
      <c r="F534" s="84" t="s">
        <v>371</v>
      </c>
      <c r="H534" s="19"/>
      <c r="I534" s="136"/>
      <c r="J534" s="129"/>
      <c r="K534" s="354"/>
      <c r="L534" s="338"/>
      <c r="M534" s="344"/>
      <c r="N534" s="382"/>
    </row>
    <row r="535" spans="1:14" ht="16" thickTop="1">
      <c r="A535" s="327"/>
      <c r="B535" s="415"/>
      <c r="C535" s="418"/>
      <c r="D535" s="327"/>
      <c r="E535" s="414" t="s">
        <v>104</v>
      </c>
      <c r="F535" s="40"/>
      <c r="G535" s="25"/>
      <c r="H535" s="87" t="str">
        <f>HYPERLINK("http://gocook.dk/gocookbook/victors-poelsehorn","Victors pølsehorn")</f>
        <v>Victors pølsehorn</v>
      </c>
      <c r="I535" s="370" t="s">
        <v>43</v>
      </c>
      <c r="J535" s="134"/>
      <c r="K535" s="355"/>
      <c r="L535" s="312"/>
      <c r="M535" s="341"/>
      <c r="N535" s="371"/>
    </row>
    <row r="536" spans="1:14" ht="15.5">
      <c r="A536" s="327"/>
      <c r="B536" s="415"/>
      <c r="C536" s="418"/>
      <c r="D536" s="327"/>
      <c r="E536" s="415"/>
      <c r="F536" s="19"/>
      <c r="G536" s="18"/>
      <c r="H536" s="49" t="str">
        <f>HYPERLINK("http://gocook.dk/gocookbook/sandwich-med-kylling","Sandwich med kylling")</f>
        <v>Sandwich med kylling</v>
      </c>
      <c r="I536" s="351"/>
      <c r="J536" s="129"/>
      <c r="K536" s="355"/>
      <c r="L536" s="312"/>
      <c r="M536" s="342"/>
      <c r="N536" s="372"/>
    </row>
    <row r="537" spans="1:14" ht="12.5">
      <c r="A537" s="327"/>
      <c r="B537" s="415"/>
      <c r="C537" s="418"/>
      <c r="D537" s="327"/>
      <c r="E537" s="415"/>
      <c r="F537" s="19"/>
      <c r="H537" s="19"/>
      <c r="I537" s="351"/>
      <c r="J537" s="129"/>
      <c r="K537" s="355"/>
      <c r="L537" s="312"/>
      <c r="M537" s="342"/>
      <c r="N537" s="372"/>
    </row>
    <row r="538" spans="1:14" ht="12.5">
      <c r="A538" s="327"/>
      <c r="B538" s="415"/>
      <c r="C538" s="418"/>
      <c r="D538" s="327"/>
      <c r="E538" s="415"/>
      <c r="F538" s="19"/>
      <c r="H538" s="19"/>
      <c r="I538" s="351"/>
      <c r="J538" s="129"/>
      <c r="K538" s="355"/>
      <c r="L538" s="312"/>
      <c r="M538" s="342"/>
      <c r="N538" s="372"/>
    </row>
    <row r="539" spans="1:14" ht="13" thickBot="1">
      <c r="A539" s="327"/>
      <c r="B539" s="415"/>
      <c r="C539" s="419"/>
      <c r="D539" s="327"/>
      <c r="E539" s="415"/>
      <c r="F539" s="19"/>
      <c r="H539" s="19"/>
      <c r="I539" s="352"/>
      <c r="J539" s="129"/>
      <c r="K539" s="356"/>
      <c r="L539" s="313"/>
      <c r="M539" s="362"/>
      <c r="N539" s="374"/>
    </row>
    <row r="540" spans="1:14" ht="16" thickBot="1">
      <c r="A540" s="327"/>
      <c r="B540" s="416" t="s">
        <v>12</v>
      </c>
      <c r="C540" s="417" t="s">
        <v>560</v>
      </c>
      <c r="D540" s="327"/>
      <c r="E540" s="122"/>
      <c r="F540" s="31" t="s">
        <v>372</v>
      </c>
      <c r="G540" s="32"/>
      <c r="H540" s="42"/>
      <c r="I540" s="132"/>
      <c r="J540" s="132"/>
      <c r="K540" s="133"/>
      <c r="L540" s="133"/>
      <c r="M540" s="164"/>
      <c r="N540" s="175"/>
    </row>
    <row r="541" spans="1:14" ht="17.25" customHeight="1" thickTop="1" thickBot="1">
      <c r="A541" s="327"/>
      <c r="B541" s="415"/>
      <c r="C541" s="418"/>
      <c r="D541" s="327"/>
      <c r="E541" s="421" t="s">
        <v>78</v>
      </c>
      <c r="F541" s="94" t="s">
        <v>563</v>
      </c>
      <c r="H541" s="19"/>
      <c r="I541" s="214"/>
      <c r="J541" s="462" t="s">
        <v>373</v>
      </c>
      <c r="K541" s="353" t="s">
        <v>579</v>
      </c>
      <c r="L541" s="336" t="s">
        <v>592</v>
      </c>
      <c r="M541" s="339" t="s">
        <v>374</v>
      </c>
      <c r="N541" s="411">
        <v>1</v>
      </c>
    </row>
    <row r="542" spans="1:14" ht="49.5" customHeight="1" thickTop="1" thickBot="1">
      <c r="A542" s="327"/>
      <c r="B542" s="415"/>
      <c r="C542" s="418"/>
      <c r="D542" s="327"/>
      <c r="E542" s="422"/>
      <c r="F542" s="34" t="s">
        <v>375</v>
      </c>
      <c r="G542" s="92" t="str">
        <f>HYPERLINK("http://gocook.dk/gocook-tv/gorm-og-carl-tester-om-andebrystet-er-gennemstegt#1582-klima","Gorm og Carl tester om andebrystet er gennemstegt ")</f>
        <v xml:space="preserve">Gorm og Carl tester om andebrystet er gennemstegt </v>
      </c>
      <c r="H542" s="19"/>
      <c r="I542" s="215"/>
      <c r="J542" s="340"/>
      <c r="K542" s="354"/>
      <c r="L542" s="337"/>
      <c r="M542" s="344"/>
      <c r="N542" s="359"/>
    </row>
    <row r="543" spans="1:14" ht="15" customHeight="1" thickTop="1">
      <c r="A543" s="327"/>
      <c r="B543" s="415"/>
      <c r="C543" s="418"/>
      <c r="D543" s="327"/>
      <c r="E543" s="422"/>
      <c r="F543" s="62" t="s">
        <v>108</v>
      </c>
      <c r="G543" s="55" t="str">
        <f>HYPERLINK("http://gocook.dk/kokkeskolen/kylling-stege-hel-i-ovnen","Kylling, stege hel i ovnen")</f>
        <v>Kylling, stege hel i ovnen</v>
      </c>
      <c r="H543" s="19"/>
      <c r="I543" s="215"/>
      <c r="J543" s="462" t="s">
        <v>376</v>
      </c>
      <c r="K543" s="354"/>
      <c r="L543" s="345" t="s">
        <v>596</v>
      </c>
      <c r="M543" s="339" t="s">
        <v>232</v>
      </c>
      <c r="N543" s="357">
        <v>1</v>
      </c>
    </row>
    <row r="544" spans="1:14" ht="15.5">
      <c r="A544" s="327"/>
      <c r="B544" s="415"/>
      <c r="C544" s="418"/>
      <c r="D544" s="327"/>
      <c r="E544" s="422"/>
      <c r="F544" s="43" t="s">
        <v>344</v>
      </c>
      <c r="H544" s="19"/>
      <c r="I544" s="215"/>
      <c r="J544" s="340"/>
      <c r="K544" s="354"/>
      <c r="L544" s="337"/>
      <c r="M544" s="340"/>
      <c r="N544" s="358"/>
    </row>
    <row r="545" spans="1:14" ht="15.5">
      <c r="A545" s="327"/>
      <c r="B545" s="415"/>
      <c r="C545" s="418"/>
      <c r="D545" s="327"/>
      <c r="E545" s="422"/>
      <c r="F545" s="43" t="s">
        <v>346</v>
      </c>
      <c r="G545" s="49" t="str">
        <f>HYPERLINK("http://gocook.dk/kokkeskolen/kylling-partere","Kylling partere ")</f>
        <v xml:space="preserve">Kylling partere </v>
      </c>
      <c r="H545" s="19"/>
      <c r="I545" s="215"/>
      <c r="J545" s="340"/>
      <c r="K545" s="354"/>
      <c r="L545" s="337"/>
      <c r="M545" s="348" t="s">
        <v>377</v>
      </c>
      <c r="N545" s="358"/>
    </row>
    <row r="546" spans="1:14" ht="24" customHeight="1" thickBot="1">
      <c r="A546" s="327"/>
      <c r="B546" s="415"/>
      <c r="C546" s="418"/>
      <c r="D546" s="327"/>
      <c r="E546" s="422"/>
      <c r="F546" s="43" t="s">
        <v>347</v>
      </c>
      <c r="H546" s="19"/>
      <c r="I546" s="215"/>
      <c r="J546" s="462" t="s">
        <v>378</v>
      </c>
      <c r="K546" s="354"/>
      <c r="L546" s="338"/>
      <c r="M546" s="344"/>
      <c r="N546" s="359"/>
    </row>
    <row r="547" spans="1:14" ht="15.5">
      <c r="A547" s="327"/>
      <c r="B547" s="415"/>
      <c r="C547" s="418"/>
      <c r="D547" s="327"/>
      <c r="E547" s="422"/>
      <c r="F547" s="43" t="s">
        <v>348</v>
      </c>
      <c r="H547" s="19"/>
      <c r="I547" s="215"/>
      <c r="J547" s="340"/>
      <c r="K547" s="355"/>
      <c r="L547" s="312"/>
      <c r="M547" s="341"/>
      <c r="N547" s="360"/>
    </row>
    <row r="548" spans="1:14" ht="15.5">
      <c r="A548" s="327"/>
      <c r="B548" s="415"/>
      <c r="C548" s="418"/>
      <c r="D548" s="327"/>
      <c r="E548" s="422"/>
      <c r="F548" s="43"/>
      <c r="H548" s="19"/>
      <c r="I548" s="215"/>
      <c r="J548" s="344"/>
      <c r="K548" s="355"/>
      <c r="L548" s="312"/>
      <c r="M548" s="342"/>
      <c r="N548" s="358"/>
    </row>
    <row r="549" spans="1:14" ht="15.5">
      <c r="A549" s="327"/>
      <c r="B549" s="415"/>
      <c r="C549" s="418"/>
      <c r="D549" s="327"/>
      <c r="E549" s="422"/>
      <c r="F549" s="43"/>
      <c r="H549" s="19"/>
      <c r="I549" s="136"/>
      <c r="J549" s="129"/>
      <c r="K549" s="355"/>
      <c r="L549" s="312"/>
      <c r="M549" s="342"/>
      <c r="N549" s="358"/>
    </row>
    <row r="550" spans="1:14" ht="15.5">
      <c r="A550" s="327"/>
      <c r="B550" s="415"/>
      <c r="C550" s="418"/>
      <c r="D550" s="327"/>
      <c r="E550" s="422"/>
      <c r="F550" s="43"/>
      <c r="H550" s="19"/>
      <c r="I550" s="136"/>
      <c r="J550" s="129"/>
      <c r="K550" s="355"/>
      <c r="L550" s="312"/>
      <c r="M550" s="342"/>
      <c r="N550" s="358"/>
    </row>
    <row r="551" spans="1:14" ht="13" thickBot="1">
      <c r="A551" s="327"/>
      <c r="B551" s="415"/>
      <c r="C551" s="418"/>
      <c r="D551" s="327"/>
      <c r="E551" s="422"/>
      <c r="F551" s="20"/>
      <c r="G551" s="20"/>
      <c r="H551" s="19"/>
      <c r="I551" s="136"/>
      <c r="J551" s="129"/>
      <c r="K551" s="355"/>
      <c r="L551" s="312"/>
      <c r="M551" s="342"/>
      <c r="N551" s="358"/>
    </row>
    <row r="552" spans="1:14" ht="16" thickTop="1">
      <c r="A552" s="327"/>
      <c r="B552" s="415"/>
      <c r="C552" s="418"/>
      <c r="D552" s="327"/>
      <c r="E552" s="428" t="s">
        <v>104</v>
      </c>
      <c r="F552" s="40"/>
      <c r="G552" s="26"/>
      <c r="H552" s="41" t="str">
        <f>HYPERLINK("http://gocook.dk/gocookbook/stegt-andebryst","Stegt andebryst")</f>
        <v>Stegt andebryst</v>
      </c>
      <c r="I552" s="370" t="s">
        <v>43</v>
      </c>
      <c r="J552" s="134"/>
      <c r="K552" s="355"/>
      <c r="L552" s="312"/>
      <c r="M552" s="342"/>
      <c r="N552" s="358"/>
    </row>
    <row r="553" spans="1:14" ht="15.5">
      <c r="A553" s="327"/>
      <c r="B553" s="415"/>
      <c r="C553" s="418"/>
      <c r="D553" s="327"/>
      <c r="E553" s="422"/>
      <c r="F553" s="19"/>
      <c r="H553" s="55" t="str">
        <f>HYPERLINK("http://gocook.dk/gocookbook/frikadeller-med-kylling","Frikadeller med kylling")</f>
        <v>Frikadeller med kylling</v>
      </c>
      <c r="I553" s="351"/>
      <c r="J553" s="129"/>
      <c r="K553" s="355"/>
      <c r="L553" s="312"/>
      <c r="M553" s="342"/>
      <c r="N553" s="358"/>
    </row>
    <row r="554" spans="1:14" ht="15.5">
      <c r="A554" s="327"/>
      <c r="B554" s="415"/>
      <c r="C554" s="418"/>
      <c r="D554" s="327"/>
      <c r="E554" s="422"/>
      <c r="F554" s="19"/>
      <c r="H554" s="55" t="str">
        <f>HYPERLINK("http://gocook.dk/gocookbook/citron-kylling","Citron-kylling")</f>
        <v>Citron-kylling</v>
      </c>
      <c r="I554" s="351"/>
      <c r="J554" s="129"/>
      <c r="K554" s="355"/>
      <c r="L554" s="312"/>
      <c r="M554" s="342"/>
      <c r="N554" s="358"/>
    </row>
    <row r="555" spans="1:14" ht="12.5">
      <c r="A555" s="327"/>
      <c r="B555" s="415"/>
      <c r="C555" s="418"/>
      <c r="D555" s="327"/>
      <c r="E555" s="422"/>
      <c r="F555" s="19"/>
      <c r="H555" s="19"/>
      <c r="I555" s="351"/>
      <c r="J555" s="129"/>
      <c r="K555" s="355"/>
      <c r="L555" s="312"/>
      <c r="M555" s="342"/>
      <c r="N555" s="358"/>
    </row>
    <row r="556" spans="1:14" ht="13" thickBot="1">
      <c r="A556" s="327"/>
      <c r="B556" s="415"/>
      <c r="C556" s="419"/>
      <c r="D556" s="327"/>
      <c r="E556" s="422"/>
      <c r="F556" s="19"/>
      <c r="H556" s="19"/>
      <c r="I556" s="352"/>
      <c r="J556" s="129"/>
      <c r="K556" s="356"/>
      <c r="L556" s="313"/>
      <c r="M556" s="362"/>
      <c r="N556" s="377"/>
    </row>
    <row r="557" spans="1:14" ht="16" thickBot="1">
      <c r="A557" s="327"/>
      <c r="B557" s="416" t="s">
        <v>12</v>
      </c>
      <c r="C557" s="417" t="s">
        <v>560</v>
      </c>
      <c r="D557" s="327"/>
      <c r="E557" s="122"/>
      <c r="F557" s="31" t="s">
        <v>379</v>
      </c>
      <c r="G557" s="32"/>
      <c r="H557" s="42"/>
      <c r="I557" s="132"/>
      <c r="J557" s="132"/>
      <c r="K557" s="133"/>
      <c r="L557" s="133"/>
      <c r="M557" s="164"/>
      <c r="N557" s="175"/>
    </row>
    <row r="558" spans="1:14" ht="17.25" customHeight="1" thickTop="1" thickBot="1">
      <c r="A558" s="327"/>
      <c r="B558" s="415"/>
      <c r="C558" s="418"/>
      <c r="D558" s="327"/>
      <c r="E558" s="434" t="s">
        <v>15</v>
      </c>
      <c r="F558" s="94" t="s">
        <v>563</v>
      </c>
      <c r="G558" s="93"/>
      <c r="I558" s="129"/>
      <c r="J558" s="410" t="s">
        <v>380</v>
      </c>
      <c r="K558" s="353" t="s">
        <v>583</v>
      </c>
      <c r="L558" s="336" t="s">
        <v>591</v>
      </c>
      <c r="M558" s="339" t="s">
        <v>144</v>
      </c>
      <c r="N558" s="357">
        <v>1</v>
      </c>
    </row>
    <row r="559" spans="1:14" ht="16" thickTop="1">
      <c r="A559" s="327"/>
      <c r="B559" s="415"/>
      <c r="C559" s="418"/>
      <c r="D559" s="327"/>
      <c r="E559" s="433"/>
      <c r="F559" s="35" t="s">
        <v>381</v>
      </c>
      <c r="G559" s="49" t="str">
        <f>HYPERLINK("http://gocook.dk/kokkeskolen/kyllingebryst-stege","Kyllingebryst, stege")</f>
        <v>Kyllingebryst, stege</v>
      </c>
      <c r="I559" s="129"/>
      <c r="J559" s="385"/>
      <c r="K559" s="354"/>
      <c r="L559" s="337"/>
      <c r="M559" s="340"/>
      <c r="N559" s="358"/>
    </row>
    <row r="560" spans="1:14" ht="34.5" customHeight="1">
      <c r="A560" s="327"/>
      <c r="B560" s="415"/>
      <c r="C560" s="418"/>
      <c r="D560" s="327"/>
      <c r="E560" s="433"/>
      <c r="F560" s="35" t="s">
        <v>382</v>
      </c>
      <c r="G560" s="71" t="str">
        <f>HYPERLINK("http://gocook.dk/kokkeskolen/kyllingelar-traek-skindet-af","Kyllingelår, træk skindet af")</f>
        <v>Kyllingelår, træk skindet af</v>
      </c>
      <c r="I560" s="129"/>
      <c r="J560" s="385"/>
      <c r="K560" s="354"/>
      <c r="L560" s="337"/>
      <c r="M560" s="344"/>
      <c r="N560" s="358"/>
    </row>
    <row r="561" spans="1:14" ht="15.5">
      <c r="A561" s="327"/>
      <c r="B561" s="415"/>
      <c r="C561" s="418"/>
      <c r="D561" s="327"/>
      <c r="E561" s="433"/>
      <c r="F561" s="35" t="s">
        <v>383</v>
      </c>
      <c r="G561" s="19"/>
      <c r="I561" s="129"/>
      <c r="J561" s="385"/>
      <c r="K561" s="354"/>
      <c r="L561" s="337"/>
      <c r="M561" s="361" t="s">
        <v>150</v>
      </c>
      <c r="N561" s="358"/>
    </row>
    <row r="562" spans="1:14" ht="15.5">
      <c r="A562" s="327"/>
      <c r="B562" s="415"/>
      <c r="C562" s="418"/>
      <c r="D562" s="327"/>
      <c r="E562" s="433"/>
      <c r="F562" s="35" t="s">
        <v>384</v>
      </c>
      <c r="G562" s="19"/>
      <c r="I562" s="129"/>
      <c r="J562" s="410" t="s">
        <v>385</v>
      </c>
      <c r="K562" s="354"/>
      <c r="L562" s="337"/>
      <c r="M562" s="340"/>
      <c r="N562" s="358"/>
    </row>
    <row r="563" spans="1:14" ht="27" customHeight="1" thickBot="1">
      <c r="A563" s="327"/>
      <c r="B563" s="415"/>
      <c r="C563" s="418"/>
      <c r="D563" s="327"/>
      <c r="E563" s="433"/>
      <c r="F563" s="35" t="s">
        <v>386</v>
      </c>
      <c r="G563" s="19"/>
      <c r="I563" s="129"/>
      <c r="J563" s="385"/>
      <c r="K563" s="354"/>
      <c r="L563" s="338"/>
      <c r="M563" s="344"/>
      <c r="N563" s="359"/>
    </row>
    <row r="564" spans="1:14" ht="15.5">
      <c r="A564" s="327"/>
      <c r="B564" s="415"/>
      <c r="C564" s="418"/>
      <c r="D564" s="327"/>
      <c r="E564" s="433"/>
      <c r="F564" s="35" t="s">
        <v>387</v>
      </c>
      <c r="G564" s="19"/>
      <c r="I564" s="129"/>
      <c r="J564" s="386"/>
      <c r="K564" s="355"/>
      <c r="L564" s="346"/>
      <c r="M564" s="341"/>
      <c r="N564" s="360"/>
    </row>
    <row r="565" spans="1:14" ht="16" thickBot="1">
      <c r="A565" s="327"/>
      <c r="B565" s="415"/>
      <c r="C565" s="418"/>
      <c r="D565" s="327"/>
      <c r="E565" s="433"/>
      <c r="F565" s="35" t="s">
        <v>388</v>
      </c>
      <c r="G565" s="19"/>
      <c r="I565" s="129"/>
      <c r="J565" s="384" t="s">
        <v>389</v>
      </c>
      <c r="K565" s="355"/>
      <c r="L565" s="346"/>
      <c r="M565" s="342"/>
      <c r="N565" s="358"/>
    </row>
    <row r="566" spans="1:14" ht="16.5" thickTop="1" thickBot="1">
      <c r="A566" s="327"/>
      <c r="B566" s="415"/>
      <c r="C566" s="418"/>
      <c r="D566" s="327"/>
      <c r="E566" s="433"/>
      <c r="F566" s="94" t="s">
        <v>390</v>
      </c>
      <c r="G566" s="19"/>
      <c r="I566" s="129"/>
      <c r="J566" s="386"/>
      <c r="K566" s="355"/>
      <c r="L566" s="346"/>
      <c r="M566" s="342"/>
      <c r="N566" s="358"/>
    </row>
    <row r="567" spans="1:14" ht="16" thickTop="1">
      <c r="A567" s="327"/>
      <c r="B567" s="415"/>
      <c r="C567" s="418"/>
      <c r="D567" s="327"/>
      <c r="E567" s="433"/>
      <c r="F567" s="35" t="s">
        <v>391</v>
      </c>
      <c r="G567" s="49" t="str">
        <f>HYPERLINK("http://gocook.dk/kokkeskolen/krydderier-svitse","Krydderier, svitse")</f>
        <v>Krydderier, svitse</v>
      </c>
      <c r="I567" s="129"/>
      <c r="J567" s="147"/>
      <c r="K567" s="355"/>
      <c r="L567" s="346"/>
      <c r="M567" s="342"/>
      <c r="N567" s="358"/>
    </row>
    <row r="568" spans="1:14" ht="31">
      <c r="A568" s="327"/>
      <c r="B568" s="415"/>
      <c r="C568" s="418"/>
      <c r="D568" s="327"/>
      <c r="E568" s="433"/>
      <c r="F568" s="34" t="s">
        <v>392</v>
      </c>
      <c r="G568" s="197" t="str">
        <f>HYPERLINK("http://gocook.dk/gocook-tv/film-09-jutti-laver-kylling-i-karry-med-sin-egen-karryblanding","Jutti laver kylling i karry med sin egen karryblanding ")</f>
        <v xml:space="preserve">Jutti laver kylling i karry med sin egen karryblanding </v>
      </c>
      <c r="I568" s="129"/>
      <c r="J568" s="131"/>
      <c r="K568" s="355"/>
      <c r="L568" s="346"/>
      <c r="M568" s="342"/>
      <c r="N568" s="358"/>
    </row>
    <row r="569" spans="1:14" ht="16" thickBot="1">
      <c r="A569" s="327"/>
      <c r="B569" s="415"/>
      <c r="C569" s="418"/>
      <c r="D569" s="327"/>
      <c r="E569" s="433"/>
      <c r="F569" s="35" t="s">
        <v>393</v>
      </c>
      <c r="G569" s="19"/>
      <c r="I569" s="129"/>
      <c r="J569" s="131"/>
      <c r="K569" s="355"/>
      <c r="L569" s="346"/>
      <c r="M569" s="342"/>
      <c r="N569" s="358"/>
    </row>
    <row r="570" spans="1:14" ht="16" thickTop="1">
      <c r="A570" s="327"/>
      <c r="B570" s="415"/>
      <c r="C570" s="418"/>
      <c r="D570" s="327"/>
      <c r="E570" s="432" t="s">
        <v>104</v>
      </c>
      <c r="F570" s="26"/>
      <c r="G570" s="40"/>
      <c r="H570" s="41" t="str">
        <f>HYPERLINK("http://gocook.dk/gocookbook/kyllingespyd-med-peanutsovs","Kyllingespyd med peanutsovs")</f>
        <v>Kyllingespyd med peanutsovs</v>
      </c>
      <c r="I570" s="390" t="s">
        <v>43</v>
      </c>
      <c r="J570" s="130"/>
      <c r="K570" s="355"/>
      <c r="L570" s="346"/>
      <c r="M570" s="342"/>
      <c r="N570" s="358"/>
    </row>
    <row r="571" spans="1:14" ht="15.5">
      <c r="A571" s="327"/>
      <c r="B571" s="415"/>
      <c r="C571" s="418"/>
      <c r="D571" s="327"/>
      <c r="E571" s="433"/>
      <c r="G571" s="19"/>
      <c r="H571" s="61" t="str">
        <f>HYPERLINK("http://gocook.dk/gocookbook/kyllingelaar-med-sesam","Kyllingelår med sesam")</f>
        <v>Kyllingelår med sesam</v>
      </c>
      <c r="I571" s="391"/>
      <c r="J571" s="131"/>
      <c r="K571" s="355"/>
      <c r="L571" s="346"/>
      <c r="M571" s="342"/>
      <c r="N571" s="358"/>
    </row>
    <row r="572" spans="1:14" ht="15.5">
      <c r="A572" s="327"/>
      <c r="B572" s="415"/>
      <c r="C572" s="418"/>
      <c r="D572" s="327"/>
      <c r="E572" s="433"/>
      <c r="G572" s="19"/>
      <c r="H572" s="61" t="str">
        <f>HYPERLINK("http://gocook.dk/gocookbook/butterchicken","Butterchicken")</f>
        <v>Butterchicken</v>
      </c>
      <c r="I572" s="391"/>
      <c r="J572" s="131"/>
      <c r="K572" s="355"/>
      <c r="L572" s="346"/>
      <c r="M572" s="342"/>
      <c r="N572" s="358"/>
    </row>
    <row r="573" spans="1:14" ht="15.5">
      <c r="A573" s="327"/>
      <c r="B573" s="415"/>
      <c r="C573" s="418"/>
      <c r="D573" s="327"/>
      <c r="E573" s="433"/>
      <c r="G573" s="19"/>
      <c r="H573" s="55" t="str">
        <f>HYPERLINK("http://gocook.dk/gocookbook/kylling-i-soed-karrysovs","Kylling i sød karrysovs")</f>
        <v>Kylling i sød karrysovs</v>
      </c>
      <c r="I573" s="391"/>
      <c r="J573" s="131"/>
      <c r="K573" s="355"/>
      <c r="L573" s="346"/>
      <c r="M573" s="342"/>
      <c r="N573" s="358"/>
    </row>
    <row r="574" spans="1:14" ht="18.75" customHeight="1" thickBot="1">
      <c r="A574" s="327"/>
      <c r="B574" s="415"/>
      <c r="C574" s="419"/>
      <c r="D574" s="327"/>
      <c r="E574" s="433"/>
      <c r="G574" s="19"/>
      <c r="I574" s="392"/>
      <c r="J574" s="131"/>
      <c r="K574" s="356"/>
      <c r="L574" s="347"/>
      <c r="M574" s="362"/>
      <c r="N574" s="377"/>
    </row>
    <row r="575" spans="1:14" ht="16" thickBot="1">
      <c r="A575" s="327"/>
      <c r="B575" s="416" t="s">
        <v>12</v>
      </c>
      <c r="C575" s="417" t="s">
        <v>560</v>
      </c>
      <c r="D575" s="327"/>
      <c r="E575" s="122"/>
      <c r="F575" s="31" t="s">
        <v>394</v>
      </c>
      <c r="G575" s="32"/>
      <c r="H575" s="42"/>
      <c r="I575" s="132"/>
      <c r="J575" s="132"/>
      <c r="K575" s="133"/>
      <c r="L575" s="133"/>
      <c r="M575" s="164"/>
      <c r="N575" s="175"/>
    </row>
    <row r="576" spans="1:14" ht="17.25" customHeight="1" thickTop="1" thickBot="1">
      <c r="A576" s="327"/>
      <c r="B576" s="415"/>
      <c r="C576" s="418"/>
      <c r="D576" s="327"/>
      <c r="E576" s="421" t="s">
        <v>15</v>
      </c>
      <c r="F576" s="94" t="s">
        <v>563</v>
      </c>
      <c r="H576" s="96"/>
      <c r="I576" s="214"/>
      <c r="J576" s="462" t="s">
        <v>395</v>
      </c>
      <c r="K576" s="353" t="s">
        <v>583</v>
      </c>
      <c r="L576" s="336" t="s">
        <v>599</v>
      </c>
      <c r="M576" s="339" t="s">
        <v>396</v>
      </c>
      <c r="N576" s="357">
        <v>2</v>
      </c>
    </row>
    <row r="577" spans="1:14" ht="16" thickTop="1">
      <c r="A577" s="327"/>
      <c r="B577" s="415"/>
      <c r="C577" s="418"/>
      <c r="D577" s="327"/>
      <c r="E577" s="422"/>
      <c r="F577" s="34" t="s">
        <v>397</v>
      </c>
      <c r="G577" s="29" t="str">
        <f>HYPERLINK("http://gocook.dk/gocook-tv/film-41-kan-man-snige-groentsager-i-frikadellerne","Kan man snige grøntsager i frikadellen?")</f>
        <v>Kan man snige grøntsager i frikadellen?</v>
      </c>
      <c r="H577" s="97"/>
      <c r="I577" s="215"/>
      <c r="J577" s="340"/>
      <c r="K577" s="354"/>
      <c r="L577" s="337"/>
      <c r="M577" s="340"/>
      <c r="N577" s="358"/>
    </row>
    <row r="578" spans="1:14" ht="21" customHeight="1" thickBot="1">
      <c r="A578" s="327"/>
      <c r="B578" s="415"/>
      <c r="C578" s="418"/>
      <c r="D578" s="327"/>
      <c r="E578" s="422"/>
      <c r="F578" s="34"/>
      <c r="G578" s="28" t="str">
        <f>HYPERLINK("http://gocook.dk/gocook-tv/film-17-saadan-laver-du-veggie-sliders","Sådan laver du veggie-sliders")</f>
        <v>Sådan laver du veggie-sliders</v>
      </c>
      <c r="H578" s="98"/>
      <c r="I578" s="215"/>
      <c r="J578" s="340"/>
      <c r="K578" s="354"/>
      <c r="L578" s="337"/>
      <c r="M578" s="340"/>
      <c r="N578" s="358"/>
    </row>
    <row r="579" spans="1:14" ht="16.5" thickTop="1" thickBot="1">
      <c r="A579" s="327"/>
      <c r="B579" s="415"/>
      <c r="C579" s="418"/>
      <c r="D579" s="327"/>
      <c r="E579" s="422"/>
      <c r="F579" s="95" t="s">
        <v>398</v>
      </c>
      <c r="H579" s="98"/>
      <c r="I579" s="215"/>
      <c r="J579" s="462" t="s">
        <v>399</v>
      </c>
      <c r="K579" s="354"/>
      <c r="L579" s="337"/>
      <c r="M579" s="348" t="s">
        <v>400</v>
      </c>
      <c r="N579" s="358"/>
    </row>
    <row r="580" spans="1:14" ht="16" thickTop="1">
      <c r="A580" s="327"/>
      <c r="B580" s="415"/>
      <c r="C580" s="418"/>
      <c r="D580" s="327"/>
      <c r="E580" s="422"/>
      <c r="F580" s="43" t="s">
        <v>401</v>
      </c>
      <c r="H580" s="98"/>
      <c r="I580" s="215"/>
      <c r="J580" s="340"/>
      <c r="K580" s="354"/>
      <c r="L580" s="337"/>
      <c r="M580" s="340"/>
      <c r="N580" s="358"/>
    </row>
    <row r="581" spans="1:14" ht="15.5">
      <c r="A581" s="327"/>
      <c r="B581" s="415"/>
      <c r="C581" s="418"/>
      <c r="D581" s="327"/>
      <c r="E581" s="422"/>
      <c r="F581" s="34" t="s">
        <v>402</v>
      </c>
      <c r="H581" s="98"/>
      <c r="I581" s="215"/>
      <c r="J581" s="340"/>
      <c r="K581" s="354"/>
      <c r="L581" s="337"/>
      <c r="M581" s="340"/>
      <c r="N581" s="358"/>
    </row>
    <row r="582" spans="1:14" ht="16" thickBot="1">
      <c r="A582" s="327"/>
      <c r="B582" s="415"/>
      <c r="C582" s="418"/>
      <c r="D582" s="327"/>
      <c r="E582" s="422"/>
      <c r="F582" s="34" t="s">
        <v>403</v>
      </c>
      <c r="H582" s="98"/>
      <c r="I582" s="215"/>
      <c r="J582" s="340"/>
      <c r="K582" s="354"/>
      <c r="L582" s="338"/>
      <c r="M582" s="344"/>
      <c r="N582" s="358"/>
    </row>
    <row r="583" spans="1:14" ht="15.5">
      <c r="A583" s="327"/>
      <c r="B583" s="415"/>
      <c r="C583" s="418"/>
      <c r="D583" s="327"/>
      <c r="E583" s="422"/>
      <c r="F583" s="34" t="s">
        <v>404</v>
      </c>
      <c r="H583" s="98"/>
      <c r="I583" s="215"/>
      <c r="J583" s="340"/>
      <c r="K583" s="355"/>
      <c r="L583" s="312"/>
      <c r="M583" s="341"/>
      <c r="N583" s="461"/>
    </row>
    <row r="584" spans="1:14" ht="15.5">
      <c r="A584" s="327"/>
      <c r="B584" s="415"/>
      <c r="C584" s="418"/>
      <c r="D584" s="327"/>
      <c r="E584" s="422"/>
      <c r="F584" s="34" t="s">
        <v>405</v>
      </c>
      <c r="H584" s="98"/>
      <c r="I584" s="215"/>
      <c r="J584" s="344"/>
      <c r="K584" s="355"/>
      <c r="L584" s="312"/>
      <c r="M584" s="342"/>
      <c r="N584" s="358"/>
    </row>
    <row r="585" spans="1:14" ht="15.5">
      <c r="A585" s="327"/>
      <c r="B585" s="415"/>
      <c r="C585" s="418"/>
      <c r="D585" s="327"/>
      <c r="E585" s="422"/>
      <c r="F585" s="34" t="s">
        <v>406</v>
      </c>
      <c r="H585" s="98"/>
      <c r="I585" s="215"/>
      <c r="J585" s="462" t="s">
        <v>407</v>
      </c>
      <c r="K585" s="355"/>
      <c r="L585" s="312"/>
      <c r="M585" s="342"/>
      <c r="N585" s="358"/>
    </row>
    <row r="586" spans="1:14" ht="15.5">
      <c r="A586" s="327"/>
      <c r="B586" s="415"/>
      <c r="C586" s="418"/>
      <c r="D586" s="327"/>
      <c r="E586" s="422"/>
      <c r="F586" s="34" t="s">
        <v>408</v>
      </c>
      <c r="H586" s="98"/>
      <c r="I586" s="215"/>
      <c r="J586" s="344"/>
      <c r="K586" s="355"/>
      <c r="L586" s="312"/>
      <c r="M586" s="342"/>
      <c r="N586" s="358"/>
    </row>
    <row r="587" spans="1:14" ht="15.5">
      <c r="A587" s="327"/>
      <c r="B587" s="415"/>
      <c r="C587" s="418"/>
      <c r="D587" s="327"/>
      <c r="E587" s="422"/>
      <c r="F587" s="34" t="s">
        <v>409</v>
      </c>
      <c r="H587" s="98"/>
      <c r="I587" s="136"/>
      <c r="J587" s="129"/>
      <c r="K587" s="355"/>
      <c r="L587" s="312"/>
      <c r="M587" s="342"/>
      <c r="N587" s="358"/>
    </row>
    <row r="588" spans="1:14" ht="16" thickBot="1">
      <c r="A588" s="327"/>
      <c r="B588" s="415"/>
      <c r="C588" s="418"/>
      <c r="D588" s="327"/>
      <c r="E588" s="422"/>
      <c r="F588" s="34" t="s">
        <v>410</v>
      </c>
      <c r="H588" s="98"/>
      <c r="I588" s="136"/>
      <c r="J588" s="129"/>
      <c r="K588" s="355"/>
      <c r="L588" s="312"/>
      <c r="M588" s="342"/>
      <c r="N588" s="358"/>
    </row>
    <row r="589" spans="1:14" ht="16" thickTop="1">
      <c r="A589" s="327"/>
      <c r="B589" s="415"/>
      <c r="C589" s="418"/>
      <c r="D589" s="327"/>
      <c r="E589" s="428" t="s">
        <v>411</v>
      </c>
      <c r="F589" s="40"/>
      <c r="G589" s="26"/>
      <c r="H589" s="41" t="str">
        <f>HYPERLINK("http://gocook.dk/gocookbook/chili-sin-carne","Chili sin carne")</f>
        <v>Chili sin carne</v>
      </c>
      <c r="I589" s="370" t="s">
        <v>43</v>
      </c>
      <c r="J589" s="134"/>
      <c r="K589" s="355"/>
      <c r="L589" s="312"/>
      <c r="M589" s="342"/>
      <c r="N589" s="358"/>
    </row>
    <row r="590" spans="1:14" ht="15.5">
      <c r="A590" s="327"/>
      <c r="B590" s="415"/>
      <c r="C590" s="418"/>
      <c r="D590" s="327"/>
      <c r="E590" s="422"/>
      <c r="F590" s="19"/>
      <c r="H590" s="55" t="str">
        <f>HYPERLINK("http://gocook.dk/gocookbook/grontsagslasagne","Grøntsagslasagne")</f>
        <v>Grøntsagslasagne</v>
      </c>
      <c r="I590" s="351"/>
      <c r="J590" s="129"/>
      <c r="K590" s="355"/>
      <c r="L590" s="312"/>
      <c r="M590" s="342"/>
      <c r="N590" s="358"/>
    </row>
    <row r="591" spans="1:14" ht="15.5">
      <c r="A591" s="327"/>
      <c r="B591" s="415"/>
      <c r="C591" s="418"/>
      <c r="D591" s="327"/>
      <c r="E591" s="422"/>
      <c r="F591" s="19"/>
      <c r="H591" s="55" t="str">
        <f>HYPERLINK("http://gocook.dk/gocookbook/veggie-sliders","Veggie-sliders")</f>
        <v>Veggie-sliders</v>
      </c>
      <c r="I591" s="351"/>
      <c r="J591" s="129"/>
      <c r="K591" s="355"/>
      <c r="L591" s="312"/>
      <c r="M591" s="342"/>
      <c r="N591" s="358"/>
    </row>
    <row r="592" spans="1:14" ht="12.5">
      <c r="A592" s="327"/>
      <c r="B592" s="415"/>
      <c r="C592" s="418"/>
      <c r="D592" s="327"/>
      <c r="E592" s="422"/>
      <c r="F592" s="19"/>
      <c r="H592" s="19"/>
      <c r="I592" s="351"/>
      <c r="J592" s="129"/>
      <c r="K592" s="355"/>
      <c r="L592" s="312"/>
      <c r="M592" s="342"/>
      <c r="N592" s="358"/>
    </row>
    <row r="593" spans="1:14" ht="20.25" customHeight="1" thickBot="1">
      <c r="A593" s="327"/>
      <c r="B593" s="415"/>
      <c r="C593" s="419"/>
      <c r="D593" s="327"/>
      <c r="E593" s="422"/>
      <c r="F593" s="19"/>
      <c r="H593" s="19"/>
      <c r="I593" s="352"/>
      <c r="J593" s="129"/>
      <c r="K593" s="356"/>
      <c r="L593" s="313"/>
      <c r="M593" s="342"/>
      <c r="N593" s="358"/>
    </row>
    <row r="594" spans="1:14" ht="16.5" customHeight="1" thickTop="1" thickBot="1">
      <c r="A594" s="327"/>
      <c r="B594" s="415"/>
      <c r="C594" s="427" t="s">
        <v>560</v>
      </c>
      <c r="D594" s="326" t="s">
        <v>412</v>
      </c>
      <c r="E594" s="128"/>
      <c r="F594" s="100" t="s">
        <v>413</v>
      </c>
      <c r="G594" s="99"/>
      <c r="H594" s="99"/>
      <c r="I594" s="132"/>
      <c r="J594" s="132"/>
      <c r="K594" s="148"/>
      <c r="L594" s="183"/>
      <c r="M594" s="168"/>
      <c r="N594" s="179"/>
    </row>
    <row r="595" spans="1:14" ht="17.25" customHeight="1" thickTop="1" thickBot="1">
      <c r="A595" s="327"/>
      <c r="B595" s="415"/>
      <c r="C595" s="418"/>
      <c r="D595" s="327"/>
      <c r="E595" s="430" t="s">
        <v>78</v>
      </c>
      <c r="F595" s="94" t="s">
        <v>563</v>
      </c>
      <c r="G595" s="101"/>
      <c r="H595" s="101"/>
      <c r="I595" s="503" t="s">
        <v>415</v>
      </c>
      <c r="J595" s="508" t="s">
        <v>414</v>
      </c>
      <c r="K595" s="506" t="s">
        <v>570</v>
      </c>
      <c r="L595" s="336" t="s">
        <v>30</v>
      </c>
      <c r="M595" s="339" t="s">
        <v>18</v>
      </c>
      <c r="N595" s="381">
        <v>1</v>
      </c>
    </row>
    <row r="596" spans="1:14" ht="16" thickTop="1">
      <c r="A596" s="327"/>
      <c r="B596" s="415"/>
      <c r="C596" s="418"/>
      <c r="D596" s="327"/>
      <c r="E596" s="415"/>
      <c r="F596" s="34" t="s">
        <v>369</v>
      </c>
      <c r="G596" s="49" t="str">
        <f>HYPERLINK("http://gocook.dk/kokkeskolen/vaske-haender","Vaske hænder")</f>
        <v>Vaske hænder</v>
      </c>
      <c r="H596" s="101"/>
      <c r="I596" s="504"/>
      <c r="J596" s="340"/>
      <c r="K596" s="391"/>
      <c r="L596" s="337"/>
      <c r="M596" s="340"/>
      <c r="N596" s="372"/>
    </row>
    <row r="597" spans="1:14" ht="15.5">
      <c r="A597" s="514"/>
      <c r="B597" s="415"/>
      <c r="C597" s="418"/>
      <c r="D597" s="327"/>
      <c r="E597" s="415"/>
      <c r="F597" s="34" t="s">
        <v>332</v>
      </c>
      <c r="G597" s="49" t="str">
        <f>HYPERLINK("http://gocook.dk/kokkeskolen/vaske-op","Vaske op")</f>
        <v>Vaske op</v>
      </c>
      <c r="H597" s="101"/>
      <c r="I597" s="504"/>
      <c r="J597" s="344"/>
      <c r="K597" s="391"/>
      <c r="L597" s="337"/>
      <c r="M597" s="340"/>
      <c r="N597" s="372"/>
    </row>
    <row r="598" spans="1:14" ht="15.5">
      <c r="A598" s="515"/>
      <c r="B598" s="415"/>
      <c r="C598" s="418"/>
      <c r="D598" s="327"/>
      <c r="E598" s="415"/>
      <c r="F598" s="84" t="s">
        <v>333</v>
      </c>
      <c r="G598" s="55" t="str">
        <f>HYPERLINK("http://gocook.dk/kokkeskolen/kokkekniv-holde-paa-den","Kokkekniv, hold på den")</f>
        <v>Kokkekniv, hold på den</v>
      </c>
      <c r="H598" s="101"/>
      <c r="I598" s="505"/>
      <c r="J598" s="138"/>
      <c r="K598" s="391"/>
      <c r="L598" s="337"/>
      <c r="M598" s="344"/>
      <c r="N598" s="372"/>
    </row>
    <row r="599" spans="1:14" ht="15.5">
      <c r="A599" s="514"/>
      <c r="B599" s="415"/>
      <c r="C599" s="418"/>
      <c r="D599" s="327"/>
      <c r="E599" s="415"/>
      <c r="F599" s="84" t="s">
        <v>335</v>
      </c>
      <c r="G599" s="102" t="str">
        <f>HYPERLINK("http://gocook.dk/kokkeskolen/bordskraldespand","Bordskraldespand")</f>
        <v>Bordskraldespand</v>
      </c>
      <c r="H599" s="101"/>
      <c r="I599" s="149"/>
      <c r="J599" s="138"/>
      <c r="K599" s="391"/>
      <c r="L599" s="337"/>
      <c r="M599" s="348" t="s">
        <v>337</v>
      </c>
      <c r="N599" s="372"/>
    </row>
    <row r="600" spans="1:14" ht="16" thickBot="1">
      <c r="A600" s="515"/>
      <c r="B600" s="415"/>
      <c r="C600" s="418"/>
      <c r="D600" s="327"/>
      <c r="E600" s="423"/>
      <c r="F600" s="43" t="s">
        <v>38</v>
      </c>
      <c r="G600" s="102" t="str">
        <f>HYPERLINK("http://gocook.dk/kokkeskolen/vride-karklud-og-goere-bordet-rent","Vride karklud og gøre bordet rent")</f>
        <v>Vride karklud og gøre bordet rent</v>
      </c>
      <c r="H600" s="101"/>
      <c r="I600" s="149"/>
      <c r="J600" s="138"/>
      <c r="K600" s="391"/>
      <c r="L600" s="337"/>
      <c r="M600" s="340"/>
      <c r="N600" s="372"/>
    </row>
    <row r="601" spans="1:14" ht="23.25" customHeight="1" thickTop="1" thickBot="1">
      <c r="A601" s="515"/>
      <c r="B601" s="415"/>
      <c r="C601" s="418"/>
      <c r="D601" s="327"/>
      <c r="E601" s="445" t="s">
        <v>42</v>
      </c>
      <c r="F601" s="103"/>
      <c r="G601" s="103"/>
      <c r="H601" s="81" t="str">
        <f>HYPERLINK("http://gocook.dk/gocookbook/fiskefrikadeller","Fiskefrikadeller")</f>
        <v>Fiskefrikadeller</v>
      </c>
      <c r="I601" s="509" t="s">
        <v>43</v>
      </c>
      <c r="J601" s="137"/>
      <c r="K601" s="391"/>
      <c r="L601" s="338"/>
      <c r="M601" s="344"/>
      <c r="N601" s="382"/>
    </row>
    <row r="602" spans="1:14" ht="12.5">
      <c r="A602" s="515"/>
      <c r="B602" s="415"/>
      <c r="C602" s="418"/>
      <c r="D602" s="327"/>
      <c r="E602" s="446"/>
      <c r="F602" s="101"/>
      <c r="G602" s="101"/>
      <c r="H602" s="101"/>
      <c r="I602" s="504"/>
      <c r="J602" s="138"/>
      <c r="K602" s="351"/>
      <c r="L602" s="312"/>
      <c r="M602" s="341"/>
      <c r="N602" s="360"/>
    </row>
    <row r="603" spans="1:14" ht="12.5">
      <c r="A603" s="515"/>
      <c r="B603" s="415"/>
      <c r="C603" s="418"/>
      <c r="D603" s="327"/>
      <c r="E603" s="446"/>
      <c r="F603" s="101"/>
      <c r="G603" s="101"/>
      <c r="H603" s="101"/>
      <c r="I603" s="504"/>
      <c r="J603" s="138"/>
      <c r="K603" s="351"/>
      <c r="L603" s="312"/>
      <c r="M603" s="342"/>
      <c r="N603" s="358"/>
    </row>
    <row r="604" spans="1:14" ht="12.5">
      <c r="A604" s="515"/>
      <c r="B604" s="415"/>
      <c r="C604" s="418"/>
      <c r="D604" s="327"/>
      <c r="E604" s="446"/>
      <c r="F604" s="101"/>
      <c r="G604" s="101"/>
      <c r="H604" s="101"/>
      <c r="I604" s="504"/>
      <c r="J604" s="138"/>
      <c r="K604" s="351"/>
      <c r="L604" s="312"/>
      <c r="M604" s="342"/>
      <c r="N604" s="358"/>
    </row>
    <row r="605" spans="1:14" ht="13" thickBot="1">
      <c r="A605" s="515"/>
      <c r="B605" s="415"/>
      <c r="C605" s="418"/>
      <c r="D605" s="327"/>
      <c r="E605" s="446"/>
      <c r="F605" s="101"/>
      <c r="G605" s="101"/>
      <c r="H605" s="101"/>
      <c r="I605" s="504"/>
      <c r="J605" s="138"/>
      <c r="K605" s="507"/>
      <c r="L605" s="313"/>
      <c r="M605" s="362"/>
      <c r="N605" s="377"/>
    </row>
    <row r="606" spans="1:14" ht="16" thickBot="1">
      <c r="A606" s="515"/>
      <c r="B606" s="415"/>
      <c r="C606" s="417" t="s">
        <v>560</v>
      </c>
      <c r="D606" s="327"/>
      <c r="E606" s="122"/>
      <c r="F606" s="104" t="s">
        <v>416</v>
      </c>
      <c r="G606" s="32"/>
      <c r="H606" s="42"/>
      <c r="I606" s="132"/>
      <c r="J606" s="132"/>
      <c r="K606" s="133"/>
      <c r="L606" s="133"/>
      <c r="M606" s="164"/>
      <c r="N606" s="175"/>
    </row>
    <row r="607" spans="1:14" ht="17.25" customHeight="1" thickTop="1" thickBot="1">
      <c r="A607" s="515"/>
      <c r="B607" s="415"/>
      <c r="C607" s="418"/>
      <c r="D607" s="327"/>
      <c r="E607" s="445" t="s">
        <v>78</v>
      </c>
      <c r="F607" s="94" t="s">
        <v>563</v>
      </c>
      <c r="G607" s="101"/>
      <c r="H607" s="101"/>
      <c r="I607" s="503" t="s">
        <v>418</v>
      </c>
      <c r="J607" s="508" t="s">
        <v>417</v>
      </c>
      <c r="K607" s="353" t="s">
        <v>584</v>
      </c>
      <c r="L607" s="336" t="s">
        <v>590</v>
      </c>
      <c r="M607" s="339" t="s">
        <v>419</v>
      </c>
      <c r="N607" s="357">
        <v>1</v>
      </c>
    </row>
    <row r="608" spans="1:14" ht="16" thickTop="1">
      <c r="A608" s="515"/>
      <c r="B608" s="415"/>
      <c r="C608" s="418"/>
      <c r="D608" s="327"/>
      <c r="E608" s="446"/>
      <c r="F608" s="43" t="s">
        <v>420</v>
      </c>
      <c r="G608" s="101"/>
      <c r="H608" s="101"/>
      <c r="I608" s="504"/>
      <c r="J608" s="340"/>
      <c r="K608" s="354"/>
      <c r="L608" s="337"/>
      <c r="M608" s="340"/>
      <c r="N608" s="358"/>
    </row>
    <row r="609" spans="1:14" ht="15.5">
      <c r="A609" s="515"/>
      <c r="B609" s="415"/>
      <c r="C609" s="418"/>
      <c r="D609" s="327"/>
      <c r="E609" s="446"/>
      <c r="F609" s="43" t="s">
        <v>310</v>
      </c>
      <c r="G609" s="101"/>
      <c r="H609" s="101"/>
      <c r="I609" s="504"/>
      <c r="J609" s="344"/>
      <c r="K609" s="354"/>
      <c r="L609" s="337"/>
      <c r="M609" s="340"/>
      <c r="N609" s="358"/>
    </row>
    <row r="610" spans="1:14" ht="16" thickBot="1">
      <c r="A610" s="515"/>
      <c r="B610" s="415"/>
      <c r="C610" s="418"/>
      <c r="D610" s="327"/>
      <c r="E610" s="446"/>
      <c r="F610" s="43" t="s">
        <v>114</v>
      </c>
      <c r="G610" s="101"/>
      <c r="H610" s="101"/>
      <c r="I610" s="505"/>
      <c r="J610" s="138"/>
      <c r="K610" s="354"/>
      <c r="L610" s="338"/>
      <c r="M610" s="344"/>
      <c r="N610" s="359"/>
    </row>
    <row r="611" spans="1:14" ht="15.5">
      <c r="A611" s="515"/>
      <c r="B611" s="415"/>
      <c r="C611" s="418"/>
      <c r="D611" s="327"/>
      <c r="E611" s="446"/>
      <c r="F611" s="35" t="s">
        <v>299</v>
      </c>
      <c r="G611" s="101"/>
      <c r="H611" s="101"/>
      <c r="I611" s="150"/>
      <c r="J611" s="138"/>
      <c r="K611" s="355"/>
      <c r="L611" s="312"/>
      <c r="M611" s="341"/>
      <c r="N611" s="360"/>
    </row>
    <row r="612" spans="1:14" ht="15.5">
      <c r="A612" s="515"/>
      <c r="B612" s="415"/>
      <c r="C612" s="418"/>
      <c r="D612" s="327"/>
      <c r="E612" s="446"/>
      <c r="F612" s="43" t="s">
        <v>421</v>
      </c>
      <c r="G612" s="101"/>
      <c r="H612" s="101"/>
      <c r="I612" s="150"/>
      <c r="J612" s="138"/>
      <c r="K612" s="355"/>
      <c r="L612" s="312"/>
      <c r="M612" s="342"/>
      <c r="N612" s="358"/>
    </row>
    <row r="613" spans="1:14" ht="16" thickBot="1">
      <c r="A613" s="515"/>
      <c r="B613" s="415"/>
      <c r="C613" s="418"/>
      <c r="D613" s="327"/>
      <c r="E613" s="447"/>
      <c r="F613" s="43" t="s">
        <v>117</v>
      </c>
      <c r="G613" s="105"/>
      <c r="H613" s="105"/>
      <c r="I613" s="152"/>
      <c r="J613" s="151"/>
      <c r="K613" s="355"/>
      <c r="L613" s="312"/>
      <c r="M613" s="342"/>
      <c r="N613" s="358"/>
    </row>
    <row r="614" spans="1:14" ht="16" thickTop="1">
      <c r="A614" s="515"/>
      <c r="B614" s="415"/>
      <c r="C614" s="418"/>
      <c r="D614" s="327"/>
      <c r="E614" s="430" t="s">
        <v>42</v>
      </c>
      <c r="F614" s="40"/>
      <c r="H614" s="61" t="str">
        <f>HYPERLINK("http://gocook.dk/gocookbook/torskerognssalat-0","Torskerognssalat")</f>
        <v>Torskerognssalat</v>
      </c>
      <c r="I614" s="135"/>
      <c r="J614" s="129"/>
      <c r="K614" s="355"/>
      <c r="L614" s="312"/>
      <c r="M614" s="342"/>
      <c r="N614" s="358"/>
    </row>
    <row r="615" spans="1:14" ht="16" thickBot="1">
      <c r="A615" s="515"/>
      <c r="B615" s="415"/>
      <c r="C615" s="418"/>
      <c r="D615" s="327"/>
      <c r="E615" s="415"/>
      <c r="F615" s="19"/>
      <c r="H615" s="61" t="str">
        <f>HYPERLINK("http://gocook.dk/gocookbook/tunsalat-og-ristet-rugbroed","Tunsalat og ristet rugbrød")</f>
        <v>Tunsalat og ristet rugbrød</v>
      </c>
      <c r="I615" s="135"/>
      <c r="J615" s="129"/>
      <c r="K615" s="356"/>
      <c r="L615" s="313"/>
      <c r="M615" s="362"/>
      <c r="N615" s="377"/>
    </row>
    <row r="616" spans="1:14" ht="16" thickBot="1">
      <c r="A616" s="515"/>
      <c r="B616" s="415"/>
      <c r="C616" s="417" t="s">
        <v>560</v>
      </c>
      <c r="D616" s="327"/>
      <c r="E616" s="122"/>
      <c r="F616" s="104" t="s">
        <v>422</v>
      </c>
      <c r="G616" s="32"/>
      <c r="H616" s="42"/>
      <c r="I616" s="132"/>
      <c r="J616" s="132"/>
      <c r="K616" s="133"/>
      <c r="L616" s="133"/>
      <c r="M616" s="164"/>
      <c r="N616" s="175"/>
    </row>
    <row r="617" spans="1:14" ht="16.5" thickTop="1" thickBot="1">
      <c r="A617" s="515"/>
      <c r="B617" s="415"/>
      <c r="C617" s="418"/>
      <c r="D617" s="327"/>
      <c r="E617" s="421" t="s">
        <v>15</v>
      </c>
      <c r="F617" s="94" t="s">
        <v>563</v>
      </c>
      <c r="H617" s="19"/>
      <c r="I617" s="350" t="s">
        <v>424</v>
      </c>
      <c r="J617" s="363" t="s">
        <v>423</v>
      </c>
      <c r="K617" s="353" t="s">
        <v>600</v>
      </c>
      <c r="L617" s="336" t="s">
        <v>30</v>
      </c>
      <c r="M617" s="339" t="s">
        <v>425</v>
      </c>
      <c r="N617" s="357">
        <v>2</v>
      </c>
    </row>
    <row r="618" spans="1:14" ht="20.25" customHeight="1" thickTop="1">
      <c r="A618" s="515"/>
      <c r="B618" s="415"/>
      <c r="C618" s="418"/>
      <c r="D618" s="327"/>
      <c r="E618" s="422"/>
      <c r="F618" s="43" t="s">
        <v>426</v>
      </c>
      <c r="H618" s="19"/>
      <c r="I618" s="352"/>
      <c r="J618" s="364"/>
      <c r="K618" s="354"/>
      <c r="L618" s="337"/>
      <c r="M618" s="340"/>
      <c r="N618" s="358"/>
    </row>
    <row r="619" spans="1:14" ht="15.5">
      <c r="A619" s="515"/>
      <c r="B619" s="415"/>
      <c r="C619" s="418"/>
      <c r="D619" s="327"/>
      <c r="E619" s="422"/>
      <c r="F619" s="43" t="s">
        <v>427</v>
      </c>
      <c r="H619" s="19"/>
      <c r="I619" s="218"/>
      <c r="J619" s="364"/>
      <c r="K619" s="354"/>
      <c r="L619" s="337"/>
      <c r="M619" s="348" t="s">
        <v>428</v>
      </c>
      <c r="N619" s="358"/>
    </row>
    <row r="620" spans="1:14" ht="24.75" customHeight="1" thickBot="1">
      <c r="A620" s="515"/>
      <c r="B620" s="415"/>
      <c r="C620" s="418"/>
      <c r="D620" s="327"/>
      <c r="E620" s="422"/>
      <c r="F620" s="43" t="s">
        <v>429</v>
      </c>
      <c r="H620" s="19"/>
      <c r="I620" s="218"/>
      <c r="J620" s="365" t="s">
        <v>430</v>
      </c>
      <c r="K620" s="354"/>
      <c r="L620" s="490"/>
      <c r="M620" s="344"/>
      <c r="N620" s="359"/>
    </row>
    <row r="621" spans="1:14" ht="15.75" customHeight="1" thickTop="1">
      <c r="A621" s="515"/>
      <c r="B621" s="415"/>
      <c r="C621" s="418"/>
      <c r="D621" s="327"/>
      <c r="E621" s="422"/>
      <c r="F621" s="43" t="s">
        <v>431</v>
      </c>
      <c r="H621" s="19"/>
      <c r="I621" s="218"/>
      <c r="J621" s="364"/>
      <c r="K621" s="354"/>
      <c r="L621" s="345" t="s">
        <v>594</v>
      </c>
      <c r="M621" s="343" t="s">
        <v>181</v>
      </c>
      <c r="N621" s="376">
        <v>1</v>
      </c>
    </row>
    <row r="622" spans="1:14" ht="24.75" customHeight="1">
      <c r="A622" s="515"/>
      <c r="B622" s="415"/>
      <c r="C622" s="418"/>
      <c r="D622" s="327"/>
      <c r="E622" s="422"/>
      <c r="F622" s="43" t="s">
        <v>432</v>
      </c>
      <c r="G622" s="50" t="str">
        <f>HYPERLINK("http://gocook.dk/kokkeskolen/fisk-vurder-om-den-er-frisk","Fisk, vurder om den er frisk")</f>
        <v>Fisk, vurder om den er frisk</v>
      </c>
      <c r="H622" s="19"/>
      <c r="I622" s="218"/>
      <c r="J622" s="366"/>
      <c r="K622" s="354"/>
      <c r="L622" s="337"/>
      <c r="M622" s="340"/>
      <c r="N622" s="358"/>
    </row>
    <row r="623" spans="1:14" ht="15.5">
      <c r="A623" s="515"/>
      <c r="B623" s="415"/>
      <c r="C623" s="418"/>
      <c r="D623" s="327"/>
      <c r="E623" s="422"/>
      <c r="F623" s="43" t="s">
        <v>565</v>
      </c>
      <c r="G623" s="106"/>
      <c r="H623" s="19"/>
      <c r="I623" s="135"/>
      <c r="J623" s="129"/>
      <c r="K623" s="354"/>
      <c r="L623" s="337"/>
      <c r="M623" s="348" t="s">
        <v>184</v>
      </c>
      <c r="N623" s="358"/>
    </row>
    <row r="624" spans="1:14" ht="15.5">
      <c r="A624" s="515"/>
      <c r="B624" s="415"/>
      <c r="C624" s="418"/>
      <c r="D624" s="327"/>
      <c r="E624" s="422"/>
      <c r="F624" s="43" t="s">
        <v>433</v>
      </c>
      <c r="G624" s="50" t="str">
        <f>HYPERLINK("http://gocook.dk/kokkeskolen/fladfisk-stege","Fladfisk, stege")</f>
        <v>Fladfisk, stege</v>
      </c>
      <c r="H624" s="19"/>
      <c r="I624" s="135"/>
      <c r="J624" s="129"/>
      <c r="K624" s="354"/>
      <c r="L624" s="337"/>
      <c r="M624" s="340"/>
      <c r="N624" s="358"/>
    </row>
    <row r="625" spans="1:14" ht="16" thickBot="1">
      <c r="A625" s="515"/>
      <c r="B625" s="415"/>
      <c r="C625" s="418"/>
      <c r="D625" s="327"/>
      <c r="E625" s="422"/>
      <c r="F625" s="43" t="s">
        <v>434</v>
      </c>
      <c r="H625" s="19"/>
      <c r="I625" s="135"/>
      <c r="J625" s="129"/>
      <c r="K625" s="354"/>
      <c r="L625" s="337"/>
      <c r="M625" s="340"/>
      <c r="N625" s="358"/>
    </row>
    <row r="626" spans="1:14" ht="16" thickTop="1">
      <c r="A626" s="515"/>
      <c r="B626" s="415"/>
      <c r="C626" s="418"/>
      <c r="D626" s="327"/>
      <c r="E626" s="431" t="s">
        <v>42</v>
      </c>
      <c r="F626" s="40"/>
      <c r="G626" s="26"/>
      <c r="H626" s="54" t="str">
        <f>HYPERLINK("http://gocook.dk/gocookbook/chilensk-ceviche","Chilensk ceviche")</f>
        <v>Chilensk ceviche</v>
      </c>
      <c r="I626" s="153"/>
      <c r="J626" s="134"/>
      <c r="K626" s="354"/>
      <c r="L626" s="337"/>
      <c r="M626" s="340"/>
      <c r="N626" s="358"/>
    </row>
    <row r="627" spans="1:14" ht="30" customHeight="1" thickBot="1">
      <c r="A627" s="515"/>
      <c r="B627" s="415"/>
      <c r="C627" s="419"/>
      <c r="D627" s="327"/>
      <c r="E627" s="422"/>
      <c r="F627" s="19"/>
      <c r="H627" s="61" t="str">
        <f>HYPERLINK("http://gocook.dk/gocookbook/argentinsk-rejesandwich","Argentinsk rejesandwich")</f>
        <v>Argentinsk rejesandwich</v>
      </c>
      <c r="I627" s="135"/>
      <c r="J627" s="129"/>
      <c r="K627" s="380"/>
      <c r="L627" s="338"/>
      <c r="M627" s="375"/>
      <c r="N627" s="377"/>
    </row>
    <row r="628" spans="1:14" ht="16" thickBot="1">
      <c r="A628" s="515"/>
      <c r="B628" s="415"/>
      <c r="C628" s="426"/>
      <c r="D628" s="327"/>
      <c r="E628" s="122"/>
      <c r="F628" s="104" t="s">
        <v>435</v>
      </c>
      <c r="G628" s="32"/>
      <c r="H628" s="42"/>
      <c r="I628" s="132"/>
      <c r="J628" s="132"/>
      <c r="K628" s="133"/>
      <c r="L628" s="133"/>
      <c r="M628" s="164"/>
      <c r="N628" s="175"/>
    </row>
    <row r="629" spans="1:14" ht="17.25" customHeight="1" thickTop="1" thickBot="1">
      <c r="A629" s="515"/>
      <c r="B629" s="415"/>
      <c r="C629" s="418"/>
      <c r="D629" s="327"/>
      <c r="E629" s="421" t="s">
        <v>15</v>
      </c>
      <c r="F629" s="94" t="s">
        <v>563</v>
      </c>
      <c r="H629" s="19"/>
      <c r="I629" s="350" t="s">
        <v>437</v>
      </c>
      <c r="J629" s="508" t="s">
        <v>436</v>
      </c>
      <c r="K629" s="453" t="s">
        <v>585</v>
      </c>
      <c r="L629" s="336" t="s">
        <v>590</v>
      </c>
      <c r="M629" s="339" t="s">
        <v>419</v>
      </c>
      <c r="N629" s="357">
        <v>1</v>
      </c>
    </row>
    <row r="630" spans="1:14" ht="16" thickTop="1">
      <c r="A630" s="515"/>
      <c r="B630" s="415"/>
      <c r="C630" s="418"/>
      <c r="D630" s="327"/>
      <c r="E630" s="422"/>
      <c r="F630" s="35" t="s">
        <v>438</v>
      </c>
      <c r="G630" s="50" t="str">
        <f>HYPERLINK("http://gocook.dk/kokkeskolen/fisk-vurder-om-den-er-frisk","Fisk, vurder om den er frisk")</f>
        <v>Fisk, vurder om den er frisk</v>
      </c>
      <c r="H630" s="19"/>
      <c r="I630" s="460"/>
      <c r="J630" s="340"/>
      <c r="K630" s="354"/>
      <c r="L630" s="337"/>
      <c r="M630" s="340"/>
      <c r="N630" s="358"/>
    </row>
    <row r="631" spans="1:14" ht="31.5" thickBot="1">
      <c r="A631" s="515"/>
      <c r="B631" s="415"/>
      <c r="C631" s="418"/>
      <c r="D631" s="327"/>
      <c r="E631" s="422"/>
      <c r="F631" s="107" t="s">
        <v>439</v>
      </c>
      <c r="G631" s="50" t="str">
        <f>HYPERLINK("http://gocook.dk/kokkeskolen/laks-dampe","Laks, dampe")</f>
        <v>Laks, dampe</v>
      </c>
      <c r="H631" s="19"/>
      <c r="I631" s="352"/>
      <c r="J631" s="462" t="s">
        <v>440</v>
      </c>
      <c r="K631" s="354"/>
      <c r="L631" s="337"/>
      <c r="M631" s="344"/>
      <c r="N631" s="359"/>
    </row>
    <row r="632" spans="1:14" ht="17.25" customHeight="1" thickTop="1" thickBot="1">
      <c r="A632" s="515"/>
      <c r="B632" s="415"/>
      <c r="C632" s="418"/>
      <c r="D632" s="327"/>
      <c r="E632" s="422"/>
      <c r="F632" s="17" t="s">
        <v>441</v>
      </c>
      <c r="H632" s="19"/>
      <c r="I632" s="516" t="s">
        <v>442</v>
      </c>
      <c r="J632" s="340"/>
      <c r="K632" s="354"/>
      <c r="L632" s="345" t="s">
        <v>589</v>
      </c>
      <c r="M632" s="339" t="s">
        <v>443</v>
      </c>
      <c r="N632" s="357">
        <v>2</v>
      </c>
    </row>
    <row r="633" spans="1:14" ht="16" thickTop="1">
      <c r="A633" s="515"/>
      <c r="B633" s="415"/>
      <c r="C633" s="418"/>
      <c r="D633" s="327"/>
      <c r="E633" s="422"/>
      <c r="F633" s="35" t="s">
        <v>444</v>
      </c>
      <c r="H633" s="19"/>
      <c r="I633" s="460"/>
      <c r="J633" s="344"/>
      <c r="K633" s="354"/>
      <c r="L633" s="337"/>
      <c r="M633" s="340"/>
      <c r="N633" s="358"/>
    </row>
    <row r="634" spans="1:14" ht="24" customHeight="1">
      <c r="A634" s="515"/>
      <c r="B634" s="415"/>
      <c r="C634" s="418"/>
      <c r="D634" s="327"/>
      <c r="E634" s="422"/>
      <c r="F634" s="35" t="s">
        <v>359</v>
      </c>
      <c r="H634" s="19"/>
      <c r="I634" s="460"/>
      <c r="J634" s="138"/>
      <c r="K634" s="354"/>
      <c r="L634" s="337"/>
      <c r="M634" s="340"/>
      <c r="N634" s="358"/>
    </row>
    <row r="635" spans="1:14" ht="16" thickBot="1">
      <c r="A635" s="515"/>
      <c r="B635" s="415"/>
      <c r="C635" s="418"/>
      <c r="D635" s="327"/>
      <c r="E635" s="422"/>
      <c r="F635" s="35" t="s">
        <v>363</v>
      </c>
      <c r="H635" s="19"/>
      <c r="I635" s="460"/>
      <c r="J635" s="138"/>
      <c r="K635" s="354"/>
      <c r="L635" s="337"/>
      <c r="M635" s="348" t="s">
        <v>445</v>
      </c>
      <c r="N635" s="358"/>
    </row>
    <row r="636" spans="1:14" ht="16" thickTop="1">
      <c r="A636" s="515"/>
      <c r="B636" s="415"/>
      <c r="C636" s="418"/>
      <c r="D636" s="327"/>
      <c r="E636" s="431" t="s">
        <v>104</v>
      </c>
      <c r="F636" s="40"/>
      <c r="G636" s="26"/>
      <c r="H636" s="54" t="str">
        <f>HYPERLINK("http://gocook.dk/gocookbook/fransk-muslingegryde","Fransk muslingegryde")</f>
        <v>Fransk muslingegryde</v>
      </c>
      <c r="I636" s="370" t="s">
        <v>43</v>
      </c>
      <c r="J636" s="137"/>
      <c r="K636" s="354"/>
      <c r="L636" s="337"/>
      <c r="M636" s="340"/>
      <c r="N636" s="358"/>
    </row>
    <row r="637" spans="1:14" ht="15.5">
      <c r="A637" s="515"/>
      <c r="B637" s="415"/>
      <c r="C637" s="418"/>
      <c r="D637" s="327"/>
      <c r="E637" s="422"/>
      <c r="F637" s="19"/>
      <c r="H637" s="61" t="str">
        <f>HYPERLINK("http://gocook.dk/gocookbook/fish-n-chips","Fish n' chips")</f>
        <v>Fish n' chips</v>
      </c>
      <c r="I637" s="351"/>
      <c r="J637" s="129"/>
      <c r="K637" s="354"/>
      <c r="L637" s="337"/>
      <c r="M637" s="340"/>
      <c r="N637" s="358"/>
    </row>
    <row r="638" spans="1:14" ht="15.5">
      <c r="A638" s="515"/>
      <c r="B638" s="415"/>
      <c r="C638" s="418"/>
      <c r="D638" s="327"/>
      <c r="E638" s="422"/>
      <c r="F638" s="19"/>
      <c r="H638" s="97"/>
      <c r="I638" s="351"/>
      <c r="J638" s="129"/>
      <c r="K638" s="354"/>
      <c r="L638" s="337"/>
      <c r="M638" s="340"/>
      <c r="N638" s="358"/>
    </row>
    <row r="639" spans="1:14" ht="15.5">
      <c r="A639" s="515"/>
      <c r="B639" s="415"/>
      <c r="C639" s="418"/>
      <c r="D639" s="327"/>
      <c r="E639" s="422"/>
      <c r="F639" s="19"/>
      <c r="H639" s="97"/>
      <c r="I639" s="351"/>
      <c r="J639" s="129"/>
      <c r="K639" s="354"/>
      <c r="L639" s="337"/>
      <c r="M639" s="340"/>
      <c r="N639" s="358"/>
    </row>
    <row r="640" spans="1:14" ht="15.5">
      <c r="A640" s="515"/>
      <c r="B640" s="415"/>
      <c r="C640" s="418"/>
      <c r="D640" s="327"/>
      <c r="E640" s="422"/>
      <c r="F640" s="19"/>
      <c r="H640" s="97"/>
      <c r="I640" s="351"/>
      <c r="J640" s="129"/>
      <c r="K640" s="354"/>
      <c r="L640" s="337"/>
      <c r="M640" s="340"/>
      <c r="N640" s="358"/>
    </row>
    <row r="641" spans="1:14" ht="13" thickBot="1">
      <c r="A641" s="515"/>
      <c r="B641" s="423"/>
      <c r="C641" s="418"/>
      <c r="D641" s="327"/>
      <c r="E641" s="429"/>
      <c r="F641" s="77"/>
      <c r="G641" s="78"/>
      <c r="H641" s="19"/>
      <c r="I641" s="449"/>
      <c r="J641" s="145"/>
      <c r="K641" s="380"/>
      <c r="L641" s="338"/>
      <c r="M641" s="375"/>
      <c r="N641" s="377"/>
    </row>
    <row r="642" spans="1:14" ht="17.25" customHeight="1" thickTop="1" thickBot="1">
      <c r="A642" s="326" t="s">
        <v>446</v>
      </c>
      <c r="B642" s="414" t="s">
        <v>12</v>
      </c>
      <c r="C642" s="425" t="s">
        <v>559</v>
      </c>
      <c r="D642" s="326" t="s">
        <v>447</v>
      </c>
      <c r="E642" s="123"/>
      <c r="F642" s="56" t="s">
        <v>448</v>
      </c>
      <c r="G642" s="57"/>
      <c r="H642" s="58"/>
      <c r="I642" s="182"/>
      <c r="J642" s="139"/>
      <c r="K642" s="140"/>
      <c r="L642" s="182"/>
      <c r="M642" s="165"/>
      <c r="N642" s="176"/>
    </row>
    <row r="643" spans="1:14" ht="26" thickTop="1" thickBot="1">
      <c r="A643" s="327"/>
      <c r="B643" s="415"/>
      <c r="C643" s="418"/>
      <c r="D643" s="327"/>
      <c r="E643" s="430" t="s">
        <v>15</v>
      </c>
      <c r="F643" s="17" t="s">
        <v>53</v>
      </c>
      <c r="H643" s="20"/>
      <c r="I643" s="512" t="s">
        <v>450</v>
      </c>
      <c r="J643" s="141" t="s">
        <v>449</v>
      </c>
      <c r="K643" s="453" t="s">
        <v>601</v>
      </c>
      <c r="L643" s="336" t="s">
        <v>602</v>
      </c>
      <c r="M643" s="339" t="s">
        <v>451</v>
      </c>
      <c r="N643" s="357">
        <v>1</v>
      </c>
    </row>
    <row r="644" spans="1:14" ht="16" thickTop="1">
      <c r="A644" s="327"/>
      <c r="B644" s="415"/>
      <c r="C644" s="418"/>
      <c r="D644" s="327"/>
      <c r="E644" s="415"/>
      <c r="F644" s="63" t="s">
        <v>452</v>
      </c>
      <c r="G644" s="50" t="str">
        <f>HYPERLINK("http://gocook.dk/gocook-tv/film-06-tag-med-mikkel-til-indien","Tag med Mikkel til Indien")</f>
        <v>Tag med Mikkel til Indien</v>
      </c>
      <c r="H644" s="20"/>
      <c r="I644" s="513"/>
      <c r="J644" s="365" t="s">
        <v>453</v>
      </c>
      <c r="K644" s="354"/>
      <c r="L644" s="337"/>
      <c r="M644" s="340"/>
      <c r="N644" s="358"/>
    </row>
    <row r="645" spans="1:14" ht="25">
      <c r="A645" s="327"/>
      <c r="B645" s="415"/>
      <c r="C645" s="418"/>
      <c r="D645" s="327"/>
      <c r="E645" s="415"/>
      <c r="F645" s="35" t="s">
        <v>454</v>
      </c>
      <c r="G645" s="50" t="str">
        <f>HYPERLINK("http://gocook.dk/gocook-tv/film-10-tag-med-mikkel-til-thailand","Tag med Mikkel til Thailand")</f>
        <v>Tag med Mikkel til Thailand</v>
      </c>
      <c r="H645" s="20"/>
      <c r="I645" s="184" t="s">
        <v>455</v>
      </c>
      <c r="J645" s="364"/>
      <c r="K645" s="354"/>
      <c r="L645" s="337"/>
      <c r="M645" s="340"/>
      <c r="N645" s="358"/>
    </row>
    <row r="646" spans="1:14" ht="15.5">
      <c r="A646" s="327"/>
      <c r="B646" s="415"/>
      <c r="C646" s="418"/>
      <c r="D646" s="327"/>
      <c r="E646" s="415"/>
      <c r="F646" s="35" t="s">
        <v>456</v>
      </c>
      <c r="G646" s="50" t="str">
        <f>HYPERLINK("http://gocook.dk/gocook-tv/film-15-tag-med-mikkel-til-tanzania","Tag med Mikkel til Tanzania")</f>
        <v>Tag med Mikkel til Tanzania</v>
      </c>
      <c r="H646" s="20"/>
      <c r="I646" s="185" t="str">
        <f>HYPERLINK("http://gocook.dk/gocook-tv#662-verdensmad","Verdensmad")</f>
        <v>Verdensmad</v>
      </c>
      <c r="J646" s="366"/>
      <c r="K646" s="354"/>
      <c r="L646" s="337"/>
      <c r="M646" s="348" t="s">
        <v>457</v>
      </c>
      <c r="N646" s="358"/>
    </row>
    <row r="647" spans="1:14" ht="15.5">
      <c r="A647" s="327"/>
      <c r="B647" s="415"/>
      <c r="C647" s="418"/>
      <c r="D647" s="327"/>
      <c r="E647" s="415"/>
      <c r="F647" s="35" t="s">
        <v>458</v>
      </c>
      <c r="G647" s="50" t="str">
        <f>HYPERLINK("http://gocook.dk/gocook-tv/film-19-tag-med-mikkel-til-mexico","Tag med Mikkel til Mexico")</f>
        <v>Tag med Mikkel til Mexico</v>
      </c>
      <c r="H647" s="19"/>
      <c r="I647" s="136"/>
      <c r="J647" s="129"/>
      <c r="K647" s="354"/>
      <c r="L647" s="337"/>
      <c r="M647" s="340"/>
      <c r="N647" s="358"/>
    </row>
    <row r="648" spans="1:14" ht="16" thickBot="1">
      <c r="A648" s="327"/>
      <c r="B648" s="415"/>
      <c r="C648" s="418"/>
      <c r="D648" s="327"/>
      <c r="E648" s="415"/>
      <c r="F648" s="35" t="s">
        <v>459</v>
      </c>
      <c r="H648" s="19"/>
      <c r="I648" s="136"/>
      <c r="J648" s="129"/>
      <c r="K648" s="354"/>
      <c r="L648" s="338"/>
      <c r="M648" s="344"/>
      <c r="N648" s="359"/>
    </row>
    <row r="649" spans="1:14" ht="15.5">
      <c r="A649" s="327"/>
      <c r="B649" s="415"/>
      <c r="C649" s="418"/>
      <c r="D649" s="327"/>
      <c r="E649" s="415"/>
      <c r="F649" s="35" t="s">
        <v>460</v>
      </c>
      <c r="H649" s="19"/>
      <c r="I649" s="136"/>
      <c r="J649" s="129"/>
      <c r="K649" s="355"/>
      <c r="L649" s="312"/>
      <c r="M649" s="341"/>
      <c r="N649" s="360"/>
    </row>
    <row r="650" spans="1:14" ht="16" thickBot="1">
      <c r="A650" s="327"/>
      <c r="B650" s="415"/>
      <c r="C650" s="418"/>
      <c r="D650" s="327"/>
      <c r="E650" s="415"/>
      <c r="F650" s="35" t="s">
        <v>461</v>
      </c>
      <c r="H650" s="19"/>
      <c r="I650" s="136"/>
      <c r="J650" s="129"/>
      <c r="K650" s="355"/>
      <c r="L650" s="312"/>
      <c r="M650" s="342"/>
      <c r="N650" s="358"/>
    </row>
    <row r="651" spans="1:14" ht="16" thickTop="1">
      <c r="A651" s="327"/>
      <c r="B651" s="415"/>
      <c r="C651" s="418"/>
      <c r="D651" s="327"/>
      <c r="E651" s="414" t="s">
        <v>245</v>
      </c>
      <c r="F651" s="40"/>
      <c r="G651" s="26"/>
      <c r="H651" s="194" t="str">
        <f>HYPERLINK("http://gocook.dk/gocookbook/indisk-naanbroed","Indisk naanbrød")</f>
        <v>Indisk naanbrød</v>
      </c>
      <c r="I651" s="370" t="s">
        <v>43</v>
      </c>
      <c r="J651" s="134"/>
      <c r="K651" s="355"/>
      <c r="L651" s="312"/>
      <c r="M651" s="342"/>
      <c r="N651" s="358"/>
    </row>
    <row r="652" spans="1:14" ht="15.5">
      <c r="A652" s="327"/>
      <c r="B652" s="415"/>
      <c r="C652" s="418"/>
      <c r="D652" s="327"/>
      <c r="E652" s="415"/>
      <c r="F652" s="19"/>
      <c r="H652" s="195" t="str">
        <f>HYPERLINK("http://gocook.dk/gocookbook/thailandsk-green-curry","Thailandsk green-curry")</f>
        <v>Thailandsk green-curry</v>
      </c>
      <c r="I652" s="351"/>
      <c r="J652" s="129"/>
      <c r="K652" s="355"/>
      <c r="L652" s="312"/>
      <c r="M652" s="342"/>
      <c r="N652" s="358"/>
    </row>
    <row r="653" spans="1:14" ht="15.5">
      <c r="A653" s="327"/>
      <c r="B653" s="415"/>
      <c r="C653" s="418"/>
      <c r="D653" s="327"/>
      <c r="E653" s="415"/>
      <c r="F653" s="19"/>
      <c r="H653" s="195" t="str">
        <f>HYPERLINK("http://gocook.dk/gocookbook/mexicanske-tacos","Mexicanske tacos")</f>
        <v>Mexicanske tacos</v>
      </c>
      <c r="I653" s="351"/>
      <c r="J653" s="129"/>
      <c r="K653" s="355"/>
      <c r="L653" s="312"/>
      <c r="M653" s="342"/>
      <c r="N653" s="358"/>
    </row>
    <row r="654" spans="1:14" ht="15.5">
      <c r="A654" s="327"/>
      <c r="B654" s="415"/>
      <c r="C654" s="418"/>
      <c r="D654" s="327"/>
      <c r="E654" s="415"/>
      <c r="F654" s="19"/>
      <c r="H654" s="195" t="str">
        <f>HYPERLINK("http://gocook.dk/gocookbook/ungarsk-gullaschsuppe","Ungarsk gullaschsuppe")</f>
        <v>Ungarsk gullaschsuppe</v>
      </c>
      <c r="I654" s="351"/>
      <c r="J654" s="129"/>
      <c r="K654" s="355"/>
      <c r="L654" s="312"/>
      <c r="M654" s="342"/>
      <c r="N654" s="358"/>
    </row>
    <row r="655" spans="1:14" ht="15.5">
      <c r="A655" s="327"/>
      <c r="B655" s="415"/>
      <c r="C655" s="418"/>
      <c r="D655" s="327"/>
      <c r="E655" s="415"/>
      <c r="F655" s="19"/>
      <c r="H655" s="195" t="str">
        <f>HYPERLINK("http://gocook.dk/gocookbook/nicoles-tyrkiske-frikadeller","Nicoles tyrkiske-frikadeller")</f>
        <v>Nicoles tyrkiske-frikadeller</v>
      </c>
      <c r="I655" s="351"/>
      <c r="J655" s="129"/>
      <c r="K655" s="355"/>
      <c r="L655" s="312"/>
      <c r="M655" s="342"/>
      <c r="N655" s="358"/>
    </row>
    <row r="656" spans="1:14" ht="16" thickBot="1">
      <c r="A656" s="327"/>
      <c r="B656" s="415"/>
      <c r="C656" s="419"/>
      <c r="D656" s="327"/>
      <c r="E656" s="415"/>
      <c r="F656" s="19"/>
      <c r="H656" s="195" t="str">
        <f>HYPERLINK("http://gocook.dk/gocookbook/danske-foraarsruller","Danske forårsruller")</f>
        <v>Danske forårsruller</v>
      </c>
      <c r="I656" s="352"/>
      <c r="J656" s="129"/>
      <c r="K656" s="356"/>
      <c r="L656" s="313"/>
      <c r="M656" s="362"/>
      <c r="N656" s="377"/>
    </row>
    <row r="657" spans="1:14" ht="16" thickBot="1">
      <c r="A657" s="327"/>
      <c r="B657" s="416" t="s">
        <v>12</v>
      </c>
      <c r="C657" s="417" t="s">
        <v>560</v>
      </c>
      <c r="D657" s="327"/>
      <c r="E657" s="122"/>
      <c r="F657" s="31" t="s">
        <v>462</v>
      </c>
      <c r="G657" s="32"/>
      <c r="H657" s="42"/>
      <c r="I657" s="132"/>
      <c r="J657" s="132"/>
      <c r="K657" s="133"/>
      <c r="L657" s="133"/>
      <c r="M657" s="164"/>
      <c r="N657" s="175"/>
    </row>
    <row r="658" spans="1:14" ht="17.25" customHeight="1" thickTop="1" thickBot="1">
      <c r="A658" s="327"/>
      <c r="B658" s="415"/>
      <c r="C658" s="418"/>
      <c r="D658" s="327"/>
      <c r="E658" s="421" t="s">
        <v>228</v>
      </c>
      <c r="F658" s="17" t="s">
        <v>463</v>
      </c>
      <c r="H658" s="19"/>
      <c r="I658" s="214"/>
      <c r="J658" s="363" t="s">
        <v>464</v>
      </c>
      <c r="K658" s="353" t="s">
        <v>603</v>
      </c>
      <c r="L658" s="336" t="s">
        <v>602</v>
      </c>
      <c r="M658" s="339" t="s">
        <v>451</v>
      </c>
      <c r="N658" s="357">
        <v>1</v>
      </c>
    </row>
    <row r="659" spans="1:14" ht="16" thickTop="1">
      <c r="A659" s="327"/>
      <c r="B659" s="415"/>
      <c r="C659" s="418"/>
      <c r="D659" s="327"/>
      <c r="E659" s="422"/>
      <c r="F659" s="108" t="s">
        <v>465</v>
      </c>
      <c r="H659" s="19"/>
      <c r="I659" s="215"/>
      <c r="J659" s="364"/>
      <c r="K659" s="354"/>
      <c r="L659" s="337"/>
      <c r="M659" s="340"/>
      <c r="N659" s="358"/>
    </row>
    <row r="660" spans="1:14" ht="22.5" customHeight="1">
      <c r="A660" s="327"/>
      <c r="B660" s="415"/>
      <c r="C660" s="418"/>
      <c r="D660" s="327"/>
      <c r="E660" s="422"/>
      <c r="F660" s="108" t="s">
        <v>466</v>
      </c>
      <c r="H660" s="19"/>
      <c r="I660" s="215"/>
      <c r="J660" s="366"/>
      <c r="K660" s="354"/>
      <c r="L660" s="337"/>
      <c r="M660" s="340"/>
      <c r="N660" s="358"/>
    </row>
    <row r="661" spans="1:14" ht="15.5">
      <c r="A661" s="327"/>
      <c r="B661" s="415"/>
      <c r="C661" s="418"/>
      <c r="D661" s="327"/>
      <c r="E661" s="422"/>
      <c r="F661" s="16" t="s">
        <v>467</v>
      </c>
      <c r="H661" s="19"/>
      <c r="I661" s="215"/>
      <c r="J661" s="363" t="s">
        <v>468</v>
      </c>
      <c r="K661" s="354"/>
      <c r="L661" s="337"/>
      <c r="M661" s="348" t="s">
        <v>457</v>
      </c>
      <c r="N661" s="358"/>
    </row>
    <row r="662" spans="1:14" ht="15.5">
      <c r="A662" s="327"/>
      <c r="B662" s="415"/>
      <c r="C662" s="418"/>
      <c r="D662" s="327"/>
      <c r="E662" s="422"/>
      <c r="F662" s="108" t="s">
        <v>469</v>
      </c>
      <c r="H662" s="19"/>
      <c r="I662" s="215"/>
      <c r="J662" s="364"/>
      <c r="K662" s="354"/>
      <c r="L662" s="337"/>
      <c r="M662" s="340"/>
      <c r="N662" s="358"/>
    </row>
    <row r="663" spans="1:14" ht="16" thickBot="1">
      <c r="A663" s="327"/>
      <c r="B663" s="415"/>
      <c r="C663" s="418"/>
      <c r="D663" s="327"/>
      <c r="E663" s="422"/>
      <c r="F663" s="108" t="s">
        <v>470</v>
      </c>
      <c r="H663" s="19"/>
      <c r="I663" s="215"/>
      <c r="J663" s="364"/>
      <c r="K663" s="354"/>
      <c r="L663" s="338"/>
      <c r="M663" s="344"/>
      <c r="N663" s="359"/>
    </row>
    <row r="664" spans="1:14" ht="19.5" customHeight="1">
      <c r="A664" s="327"/>
      <c r="B664" s="415"/>
      <c r="C664" s="418"/>
      <c r="D664" s="327"/>
      <c r="E664" s="422"/>
      <c r="F664" s="108" t="s">
        <v>471</v>
      </c>
      <c r="H664" s="19"/>
      <c r="I664" s="215"/>
      <c r="J664" s="366"/>
      <c r="K664" s="355"/>
      <c r="L664" s="312"/>
      <c r="M664" s="341"/>
      <c r="N664" s="360"/>
    </row>
    <row r="665" spans="1:14" ht="31">
      <c r="A665" s="327"/>
      <c r="B665" s="415"/>
      <c r="C665" s="418"/>
      <c r="D665" s="327"/>
      <c r="E665" s="422"/>
      <c r="F665" s="16" t="s">
        <v>472</v>
      </c>
      <c r="H665" s="19"/>
      <c r="I665" s="136"/>
      <c r="J665" s="129"/>
      <c r="K665" s="355"/>
      <c r="L665" s="312"/>
      <c r="M665" s="342"/>
      <c r="N665" s="358"/>
    </row>
    <row r="666" spans="1:14" ht="16" thickBot="1">
      <c r="A666" s="327"/>
      <c r="B666" s="415"/>
      <c r="C666" s="418"/>
      <c r="D666" s="327"/>
      <c r="E666" s="422"/>
      <c r="F666" s="108" t="s">
        <v>473</v>
      </c>
      <c r="H666" s="19"/>
      <c r="I666" s="136"/>
      <c r="J666" s="129"/>
      <c r="K666" s="356"/>
      <c r="L666" s="313"/>
      <c r="M666" s="342"/>
      <c r="N666" s="358"/>
    </row>
    <row r="667" spans="1:14" ht="15" customHeight="1" thickTop="1">
      <c r="A667" s="327"/>
      <c r="B667" s="415"/>
      <c r="C667" s="418"/>
      <c r="D667" s="327"/>
      <c r="E667" s="422"/>
      <c r="F667" s="108" t="s">
        <v>474</v>
      </c>
      <c r="H667" s="19"/>
      <c r="I667" s="136"/>
      <c r="J667" s="129"/>
      <c r="K667" s="480" t="s">
        <v>573</v>
      </c>
      <c r="L667" s="481" t="s">
        <v>591</v>
      </c>
      <c r="M667" s="491" t="s">
        <v>144</v>
      </c>
      <c r="N667" s="357">
        <v>1</v>
      </c>
    </row>
    <row r="668" spans="1:14" ht="15.5">
      <c r="A668" s="327"/>
      <c r="B668" s="415"/>
      <c r="C668" s="418"/>
      <c r="D668" s="327"/>
      <c r="E668" s="422"/>
      <c r="F668" s="16" t="s">
        <v>475</v>
      </c>
      <c r="H668" s="19"/>
      <c r="I668" s="136"/>
      <c r="J668" s="129"/>
      <c r="K668" s="355"/>
      <c r="L668" s="482"/>
      <c r="M668" s="342"/>
      <c r="N668" s="358"/>
    </row>
    <row r="669" spans="1:14" ht="35.25" customHeight="1">
      <c r="A669" s="327"/>
      <c r="B669" s="415"/>
      <c r="C669" s="418"/>
      <c r="D669" s="327"/>
      <c r="E669" s="422"/>
      <c r="F669" s="16" t="s">
        <v>476</v>
      </c>
      <c r="H669" s="19"/>
      <c r="I669" s="136"/>
      <c r="J669" s="129"/>
      <c r="K669" s="355"/>
      <c r="L669" s="482"/>
      <c r="M669" s="492"/>
      <c r="N669" s="358"/>
    </row>
    <row r="670" spans="1:14" ht="16" thickBot="1">
      <c r="A670" s="327"/>
      <c r="B670" s="415"/>
      <c r="C670" s="418"/>
      <c r="D670" s="327"/>
      <c r="E670" s="422"/>
      <c r="F670" s="108" t="s">
        <v>477</v>
      </c>
      <c r="H670" s="19"/>
      <c r="I670" s="136"/>
      <c r="J670" s="129"/>
      <c r="K670" s="355"/>
      <c r="L670" s="482"/>
      <c r="M670" s="383" t="s">
        <v>150</v>
      </c>
      <c r="N670" s="358"/>
    </row>
    <row r="671" spans="1:14" ht="16" thickTop="1">
      <c r="A671" s="327"/>
      <c r="B671" s="415"/>
      <c r="C671" s="418"/>
      <c r="D671" s="327"/>
      <c r="E671" s="428" t="s">
        <v>245</v>
      </c>
      <c r="F671" s="40"/>
      <c r="G671" s="26"/>
      <c r="H671" s="194" t="str">
        <f>HYPERLINK("http://gocook.dk/gocookbook/burgerboller","Burgerboller")</f>
        <v>Burgerboller</v>
      </c>
      <c r="I671" s="370" t="s">
        <v>43</v>
      </c>
      <c r="J671" s="134"/>
      <c r="K671" s="355"/>
      <c r="L671" s="482"/>
      <c r="M671" s="342"/>
      <c r="N671" s="358"/>
    </row>
    <row r="672" spans="1:14" ht="24.75" customHeight="1">
      <c r="A672" s="327"/>
      <c r="B672" s="415"/>
      <c r="C672" s="418"/>
      <c r="D672" s="327"/>
      <c r="E672" s="422"/>
      <c r="F672" s="19"/>
      <c r="H672" s="195" t="str">
        <f>HYPERLINK("http://gocook.dk/gocookbook/klassisk-burger","Klassisk burger ")</f>
        <v xml:space="preserve">Klassisk burger </v>
      </c>
      <c r="I672" s="351"/>
      <c r="J672" s="129"/>
      <c r="K672" s="355"/>
      <c r="L672" s="483"/>
      <c r="M672" s="492"/>
      <c r="N672" s="359"/>
    </row>
    <row r="673" spans="1:14" ht="15.5">
      <c r="A673" s="327"/>
      <c r="B673" s="415"/>
      <c r="C673" s="418"/>
      <c r="D673" s="327"/>
      <c r="E673" s="422"/>
      <c r="F673" s="19"/>
      <c r="H673" s="195" t="str">
        <f>HYPERLINK("http://gocook.dk/gocookbook/hotdogs","Hotdogs")</f>
        <v>Hotdogs</v>
      </c>
      <c r="I673" s="351"/>
      <c r="J673" s="129"/>
      <c r="K673" s="355"/>
      <c r="L673" s="486"/>
      <c r="M673" s="341"/>
      <c r="N673" s="360"/>
    </row>
    <row r="674" spans="1:14" ht="15.5">
      <c r="A674" s="327"/>
      <c r="B674" s="415"/>
      <c r="C674" s="418"/>
      <c r="D674" s="327"/>
      <c r="E674" s="422"/>
      <c r="F674" s="19"/>
      <c r="H674" s="195" t="str">
        <f>HYPERLINK("http://gocook.dk/gocookbook/cup-noodles-deluxe","Cup-noodles deluxe")</f>
        <v>Cup-noodles deluxe</v>
      </c>
      <c r="I674" s="351"/>
      <c r="J674" s="129"/>
      <c r="K674" s="355"/>
      <c r="L674" s="312"/>
      <c r="M674" s="342"/>
      <c r="N674" s="358"/>
    </row>
    <row r="675" spans="1:14" ht="16" thickBot="1">
      <c r="A675" s="327"/>
      <c r="B675" s="415"/>
      <c r="C675" s="419"/>
      <c r="D675" s="327"/>
      <c r="E675" s="422"/>
      <c r="F675" s="19"/>
      <c r="H675" s="195" t="str">
        <f>HYPERLINK("http://gocook.dk/gocookbook/pizza-med-oksekoed","Pizza med oksekød")</f>
        <v>Pizza med oksekød</v>
      </c>
      <c r="I675" s="352"/>
      <c r="J675" s="129"/>
      <c r="K675" s="356"/>
      <c r="L675" s="313"/>
      <c r="M675" s="362"/>
      <c r="N675" s="377"/>
    </row>
    <row r="676" spans="1:14" ht="16" thickBot="1">
      <c r="A676" s="327"/>
      <c r="B676" s="416" t="s">
        <v>12</v>
      </c>
      <c r="C676" s="417" t="s">
        <v>559</v>
      </c>
      <c r="D676" s="327"/>
      <c r="E676" s="122"/>
      <c r="F676" s="31" t="s">
        <v>478</v>
      </c>
      <c r="G676" s="32"/>
      <c r="H676" s="42"/>
      <c r="I676" s="132"/>
      <c r="J676" s="132"/>
      <c r="K676" s="133"/>
      <c r="L676" s="133"/>
      <c r="M676" s="164"/>
      <c r="N676" s="175"/>
    </row>
    <row r="677" spans="1:14" ht="27" customHeight="1" thickTop="1" thickBot="1">
      <c r="A677" s="327"/>
      <c r="B677" s="415"/>
      <c r="C677" s="418"/>
      <c r="D677" s="327"/>
      <c r="E677" s="434" t="s">
        <v>15</v>
      </c>
      <c r="F677" s="17" t="s">
        <v>177</v>
      </c>
      <c r="G677" s="18"/>
      <c r="H677" s="205"/>
      <c r="I677" s="363" t="s">
        <v>480</v>
      </c>
      <c r="J677" s="154" t="s">
        <v>479</v>
      </c>
      <c r="K677" s="285" t="s">
        <v>586</v>
      </c>
      <c r="L677" s="487" t="s">
        <v>598</v>
      </c>
      <c r="M677" s="339" t="s">
        <v>481</v>
      </c>
      <c r="N677" s="357">
        <v>2</v>
      </c>
    </row>
    <row r="678" spans="1:14" ht="25.5" customHeight="1" thickTop="1">
      <c r="A678" s="327"/>
      <c r="B678" s="415"/>
      <c r="C678" s="418"/>
      <c r="D678" s="327"/>
      <c r="E678" s="433"/>
      <c r="F678" s="43" t="s">
        <v>183</v>
      </c>
      <c r="G678" s="18"/>
      <c r="H678" s="206"/>
      <c r="I678" s="364"/>
      <c r="J678" s="410" t="s">
        <v>482</v>
      </c>
      <c r="K678" s="286"/>
      <c r="L678" s="488"/>
      <c r="M678" s="340"/>
      <c r="N678" s="358"/>
    </row>
    <row r="679" spans="1:14" ht="16" thickBot="1">
      <c r="A679" s="327"/>
      <c r="B679" s="415"/>
      <c r="C679" s="418"/>
      <c r="D679" s="327"/>
      <c r="E679" s="433"/>
      <c r="F679" s="43" t="s">
        <v>185</v>
      </c>
      <c r="G679" s="18"/>
      <c r="H679" s="206"/>
      <c r="I679" s="364"/>
      <c r="J679" s="385"/>
      <c r="K679" s="286"/>
      <c r="L679" s="488"/>
      <c r="M679" s="348" t="s">
        <v>285</v>
      </c>
      <c r="N679" s="358"/>
    </row>
    <row r="680" spans="1:14" ht="25.5" customHeight="1" thickTop="1" thickBot="1">
      <c r="A680" s="327"/>
      <c r="B680" s="415"/>
      <c r="C680" s="418"/>
      <c r="D680" s="327"/>
      <c r="E680" s="433"/>
      <c r="F680" s="17" t="s">
        <v>158</v>
      </c>
      <c r="G680" s="19"/>
      <c r="H680" s="206"/>
      <c r="I680" s="364"/>
      <c r="J680" s="385"/>
      <c r="K680" s="286"/>
      <c r="L680" s="489"/>
      <c r="M680" s="344"/>
      <c r="N680" s="359"/>
    </row>
    <row r="681" spans="1:14" ht="16" thickTop="1">
      <c r="A681" s="327"/>
      <c r="B681" s="415"/>
      <c r="C681" s="418"/>
      <c r="D681" s="327"/>
      <c r="E681" s="433"/>
      <c r="F681" s="22" t="s">
        <v>161</v>
      </c>
      <c r="G681" s="19"/>
      <c r="H681" s="206"/>
      <c r="I681" s="366"/>
      <c r="J681" s="386"/>
      <c r="K681" s="286"/>
      <c r="L681" s="278"/>
      <c r="M681" s="278"/>
      <c r="N681" s="360"/>
    </row>
    <row r="682" spans="1:14" ht="16" thickBot="1">
      <c r="A682" s="327"/>
      <c r="B682" s="415"/>
      <c r="C682" s="418"/>
      <c r="D682" s="327"/>
      <c r="E682" s="433"/>
      <c r="F682" s="22" t="s">
        <v>483</v>
      </c>
      <c r="G682" s="19"/>
      <c r="I682" s="129"/>
      <c r="J682" s="131"/>
      <c r="K682" s="286"/>
      <c r="L682" s="278"/>
      <c r="M682" s="224"/>
      <c r="N682" s="358"/>
    </row>
    <row r="683" spans="1:14" ht="16.5" thickTop="1" thickBot="1">
      <c r="A683" s="327"/>
      <c r="B683" s="415"/>
      <c r="C683" s="418"/>
      <c r="D683" s="327"/>
      <c r="E683" s="433"/>
      <c r="F683" s="17" t="s">
        <v>484</v>
      </c>
      <c r="G683" s="19"/>
      <c r="I683" s="129"/>
      <c r="J683" s="131"/>
      <c r="K683" s="287"/>
      <c r="L683" s="279"/>
      <c r="M683" s="280"/>
      <c r="N683" s="358"/>
    </row>
    <row r="684" spans="1:14" ht="16.5" thickTop="1" thickBot="1">
      <c r="A684" s="327"/>
      <c r="B684" s="415"/>
      <c r="C684" s="418"/>
      <c r="D684" s="327"/>
      <c r="E684" s="433"/>
      <c r="F684" s="22" t="s">
        <v>485</v>
      </c>
      <c r="G684" s="19"/>
      <c r="I684" s="129"/>
      <c r="J684" s="131"/>
      <c r="K684" s="293" t="s">
        <v>573</v>
      </c>
      <c r="L684" s="290" t="s">
        <v>591</v>
      </c>
      <c r="M684" s="288" t="s">
        <v>144</v>
      </c>
      <c r="N684" s="358"/>
    </row>
    <row r="685" spans="1:14" ht="15.75" customHeight="1" thickBot="1">
      <c r="A685" s="327"/>
      <c r="B685" s="415"/>
      <c r="C685" s="418"/>
      <c r="D685" s="327"/>
      <c r="E685" s="433"/>
      <c r="F685" s="22" t="s">
        <v>486</v>
      </c>
      <c r="G685" s="19"/>
      <c r="H685" s="281"/>
      <c r="I685" s="129"/>
      <c r="J685" s="131"/>
      <c r="K685" s="286"/>
      <c r="L685" s="291"/>
      <c r="M685" s="288"/>
      <c r="N685" s="357">
        <v>1</v>
      </c>
    </row>
    <row r="686" spans="1:14" ht="16" thickTop="1">
      <c r="A686" s="327"/>
      <c r="B686" s="415"/>
      <c r="C686" s="418"/>
      <c r="D686" s="327"/>
      <c r="E686" s="432" t="s">
        <v>104</v>
      </c>
      <c r="F686" s="26"/>
      <c r="G686" s="40"/>
      <c r="H686" s="198" t="str">
        <f>HYPERLINK("http://gocook.dk/gocookbook/kogte-kartofler-med-drys","Kogte kartofler med drys")</f>
        <v>Kogte kartofler med drys</v>
      </c>
      <c r="I686" s="390" t="s">
        <v>43</v>
      </c>
      <c r="J686" s="130"/>
      <c r="K686" s="286"/>
      <c r="L686" s="291"/>
      <c r="M686" s="288"/>
      <c r="N686" s="358"/>
    </row>
    <row r="687" spans="1:14" ht="15.5">
      <c r="A687" s="327"/>
      <c r="B687" s="415"/>
      <c r="C687" s="418"/>
      <c r="D687" s="327"/>
      <c r="E687" s="433"/>
      <c r="G687" s="19"/>
      <c r="H687" s="198" t="str">
        <f>HYPERLINK("http://gocook.dk/gocookbook/roesti-med-rodfrugter","Røsti med rodfrugter")</f>
        <v>Røsti med rodfrugter</v>
      </c>
      <c r="I687" s="391"/>
      <c r="J687" s="131"/>
      <c r="K687" s="286"/>
      <c r="L687" s="291"/>
      <c r="M687" s="289"/>
      <c r="N687" s="358"/>
    </row>
    <row r="688" spans="1:14" ht="15.5">
      <c r="A688" s="327"/>
      <c r="B688" s="415"/>
      <c r="C688" s="418"/>
      <c r="D688" s="327"/>
      <c r="E688" s="433"/>
      <c r="G688" s="19"/>
      <c r="H688" s="198" t="str">
        <f>HYPERLINK("http://gocook.dk/gocookbook/aeblekage","Æblekage")</f>
        <v>Æblekage</v>
      </c>
      <c r="I688" s="391"/>
      <c r="J688" s="131"/>
      <c r="K688" s="286"/>
      <c r="L688" s="291"/>
      <c r="M688" s="361" t="s">
        <v>150</v>
      </c>
      <c r="N688" s="358"/>
    </row>
    <row r="689" spans="1:14" ht="12.5">
      <c r="A689" s="327"/>
      <c r="B689" s="415"/>
      <c r="C689" s="418"/>
      <c r="D689" s="327"/>
      <c r="E689" s="433"/>
      <c r="G689" s="19"/>
      <c r="I689" s="391"/>
      <c r="J689" s="131"/>
      <c r="K689" s="286"/>
      <c r="L689" s="291"/>
      <c r="M689" s="340"/>
      <c r="N689" s="358"/>
    </row>
    <row r="690" spans="1:14" ht="13" thickBot="1">
      <c r="A690" s="327"/>
      <c r="B690" s="415"/>
      <c r="C690" s="419"/>
      <c r="D690" s="327"/>
      <c r="E690" s="433"/>
      <c r="G690" s="19"/>
      <c r="I690" s="392"/>
      <c r="J690" s="131"/>
      <c r="K690" s="294"/>
      <c r="L690" s="292"/>
      <c r="M690" s="375"/>
      <c r="N690" s="377"/>
    </row>
    <row r="691" spans="1:14" ht="16" thickBot="1">
      <c r="A691" s="327"/>
      <c r="B691" s="416" t="s">
        <v>12</v>
      </c>
      <c r="C691" s="417" t="s">
        <v>560</v>
      </c>
      <c r="D691" s="327"/>
      <c r="E691" s="122"/>
      <c r="F691" s="31" t="s">
        <v>487</v>
      </c>
      <c r="G691" s="32"/>
      <c r="H691" s="42"/>
      <c r="I691" s="219"/>
      <c r="J691" s="132"/>
      <c r="K691" s="133"/>
      <c r="L691" s="133"/>
      <c r="M691" s="164"/>
      <c r="N691" s="175"/>
    </row>
    <row r="692" spans="1:14" ht="17.25" customHeight="1" thickTop="1" thickBot="1">
      <c r="A692" s="327"/>
      <c r="B692" s="415"/>
      <c r="C692" s="418"/>
      <c r="D692" s="327"/>
      <c r="E692" s="421" t="s">
        <v>15</v>
      </c>
      <c r="F692" s="17" t="s">
        <v>354</v>
      </c>
      <c r="H692" s="19"/>
      <c r="I692" s="497" t="s">
        <v>489</v>
      </c>
      <c r="J692" s="363" t="s">
        <v>488</v>
      </c>
      <c r="K692" s="353" t="s">
        <v>573</v>
      </c>
      <c r="L692" s="336" t="s">
        <v>599</v>
      </c>
      <c r="M692" s="339" t="s">
        <v>490</v>
      </c>
      <c r="N692" s="357">
        <v>1</v>
      </c>
    </row>
    <row r="693" spans="1:14" ht="16" thickTop="1">
      <c r="A693" s="327"/>
      <c r="B693" s="415"/>
      <c r="C693" s="418"/>
      <c r="D693" s="327"/>
      <c r="E693" s="422"/>
      <c r="F693" s="43" t="s">
        <v>491</v>
      </c>
      <c r="G693" s="195" t="str">
        <f>HYPERLINK("http://gocook.dk/gocook-tv/film-05-hvad-er-baelgfrugter","Hvad er bælgfrugter?")</f>
        <v>Hvad er bælgfrugter?</v>
      </c>
      <c r="H693" s="19"/>
      <c r="I693" s="351"/>
      <c r="J693" s="364"/>
      <c r="K693" s="354"/>
      <c r="L693" s="337"/>
      <c r="M693" s="340"/>
      <c r="N693" s="358"/>
    </row>
    <row r="694" spans="1:14" ht="20.25" customHeight="1">
      <c r="A694" s="327"/>
      <c r="B694" s="415"/>
      <c r="C694" s="418"/>
      <c r="D694" s="327"/>
      <c r="E694" s="422"/>
      <c r="F694" s="43" t="s">
        <v>492</v>
      </c>
      <c r="G694" s="199"/>
      <c r="H694" s="19"/>
      <c r="I694" s="498"/>
      <c r="J694" s="364"/>
      <c r="K694" s="354"/>
      <c r="L694" s="337"/>
      <c r="M694" s="340"/>
      <c r="N694" s="358"/>
    </row>
    <row r="695" spans="1:14" ht="15.5">
      <c r="A695" s="327"/>
      <c r="B695" s="415"/>
      <c r="C695" s="418"/>
      <c r="D695" s="327"/>
      <c r="E695" s="422"/>
      <c r="F695" s="43" t="s">
        <v>493</v>
      </c>
      <c r="G695" s="195" t="str">
        <f>HYPERLINK("http://gocook.dk/gocook-tv/film-14-saadan-giver-du-baelg-frugter-smag","Sådan giver du bælgfrugter smag?")</f>
        <v>Sådan giver du bælgfrugter smag?</v>
      </c>
      <c r="H695" s="19"/>
      <c r="I695" s="215"/>
      <c r="J695" s="365" t="s">
        <v>494</v>
      </c>
      <c r="K695" s="354"/>
      <c r="L695" s="337"/>
      <c r="M695" s="348" t="s">
        <v>495</v>
      </c>
      <c r="N695" s="358"/>
    </row>
    <row r="696" spans="1:14" ht="15.5">
      <c r="A696" s="327"/>
      <c r="B696" s="415"/>
      <c r="C696" s="418"/>
      <c r="D696" s="327"/>
      <c r="E696" s="422"/>
      <c r="F696" s="43" t="s">
        <v>496</v>
      </c>
      <c r="G696" s="195" t="str">
        <f>HYPERLINK("http://gocook.dk/gocook-tv/film-33-mikkels-rejse-efter-baelgfrugter","Mikkels rejse efter bælgfrugter?")</f>
        <v>Mikkels rejse efter bælgfrugter?</v>
      </c>
      <c r="H696" s="19"/>
      <c r="I696" s="215"/>
      <c r="J696" s="364"/>
      <c r="K696" s="354"/>
      <c r="L696" s="337"/>
      <c r="M696" s="340"/>
      <c r="N696" s="358"/>
    </row>
    <row r="697" spans="1:14" ht="31.5" thickBot="1">
      <c r="A697" s="327"/>
      <c r="B697" s="415"/>
      <c r="C697" s="418"/>
      <c r="D697" s="327"/>
      <c r="E697" s="422"/>
      <c r="F697" s="43" t="s">
        <v>497</v>
      </c>
      <c r="G697" s="200" t="str">
        <f>HYPERLINK("http://gocook.dk/gocook-tv/film-15-hvilke-teknikker-kan-du-bruge-til-baelgfrugter","Hvilke teknikker kan du bruge til bælgfrugter?")</f>
        <v>Hvilke teknikker kan du bruge til bælgfrugter?</v>
      </c>
      <c r="H697" s="19"/>
      <c r="I697" s="215"/>
      <c r="J697" s="366"/>
      <c r="K697" s="354"/>
      <c r="L697" s="337"/>
      <c r="M697" s="344"/>
      <c r="N697" s="359"/>
    </row>
    <row r="698" spans="1:14" ht="15.75" customHeight="1" thickTop="1">
      <c r="A698" s="327"/>
      <c r="B698" s="415"/>
      <c r="C698" s="418"/>
      <c r="D698" s="327"/>
      <c r="E698" s="422"/>
      <c r="F698" s="43" t="s">
        <v>498</v>
      </c>
      <c r="G698" s="82"/>
      <c r="H698" s="19"/>
      <c r="I698" s="136"/>
      <c r="J698" s="129"/>
      <c r="K698" s="354"/>
      <c r="L698" s="345" t="s">
        <v>599</v>
      </c>
      <c r="M698" s="339" t="s">
        <v>396</v>
      </c>
      <c r="N698" s="357">
        <v>2</v>
      </c>
    </row>
    <row r="699" spans="1:14" ht="15.5">
      <c r="A699" s="327"/>
      <c r="B699" s="415"/>
      <c r="C699" s="418"/>
      <c r="D699" s="327"/>
      <c r="E699" s="422"/>
      <c r="F699" s="43" t="s">
        <v>499</v>
      </c>
      <c r="G699" s="82"/>
      <c r="H699" s="19"/>
      <c r="I699" s="136"/>
      <c r="J699" s="129"/>
      <c r="K699" s="354"/>
      <c r="L699" s="337"/>
      <c r="M699" s="340"/>
      <c r="N699" s="358"/>
    </row>
    <row r="700" spans="1:14" ht="23.25" customHeight="1">
      <c r="A700" s="327"/>
      <c r="B700" s="415"/>
      <c r="C700" s="418"/>
      <c r="D700" s="327"/>
      <c r="E700" s="422"/>
      <c r="F700" s="43" t="s">
        <v>500</v>
      </c>
      <c r="G700" s="82"/>
      <c r="H700" s="19"/>
      <c r="I700" s="136"/>
      <c r="J700" s="129"/>
      <c r="K700" s="354"/>
      <c r="L700" s="337"/>
      <c r="M700" s="340"/>
      <c r="N700" s="358"/>
    </row>
    <row r="701" spans="1:14" ht="15.5">
      <c r="A701" s="327"/>
      <c r="B701" s="415"/>
      <c r="C701" s="418"/>
      <c r="D701" s="327"/>
      <c r="E701" s="422"/>
      <c r="F701" s="43" t="s">
        <v>501</v>
      </c>
      <c r="G701" s="82"/>
      <c r="H701" s="19"/>
      <c r="I701" s="136"/>
      <c r="J701" s="129"/>
      <c r="K701" s="354"/>
      <c r="L701" s="337"/>
      <c r="M701" s="348" t="s">
        <v>400</v>
      </c>
      <c r="N701" s="358"/>
    </row>
    <row r="702" spans="1:14" ht="16" thickBot="1">
      <c r="A702" s="327"/>
      <c r="B702" s="415"/>
      <c r="C702" s="418"/>
      <c r="D702" s="327"/>
      <c r="E702" s="422"/>
      <c r="F702" s="43" t="s">
        <v>363</v>
      </c>
      <c r="G702" s="82"/>
      <c r="H702" s="19"/>
      <c r="I702" s="136"/>
      <c r="J702" s="129"/>
      <c r="K702" s="354"/>
      <c r="L702" s="337"/>
      <c r="M702" s="340"/>
      <c r="N702" s="358"/>
    </row>
    <row r="703" spans="1:14" ht="16" thickTop="1">
      <c r="A703" s="327"/>
      <c r="B703" s="415"/>
      <c r="C703" s="418"/>
      <c r="D703" s="327"/>
      <c r="E703" s="428" t="s">
        <v>104</v>
      </c>
      <c r="F703" s="40"/>
      <c r="G703" s="26"/>
      <c r="H703" s="194" t="str">
        <f>HYPERLINK("http://gocook.dk/gocookbook/chokoladekage-med-sorte-boenner","Chokoladekage med sortebønner")</f>
        <v>Chokoladekage med sortebønner</v>
      </c>
      <c r="I703" s="370" t="s">
        <v>43</v>
      </c>
      <c r="J703" s="134"/>
      <c r="K703" s="354"/>
      <c r="L703" s="337"/>
      <c r="M703" s="340"/>
      <c r="N703" s="358"/>
    </row>
    <row r="704" spans="1:14" ht="18.75" customHeight="1" thickBot="1">
      <c r="A704" s="327"/>
      <c r="B704" s="415"/>
      <c r="C704" s="418"/>
      <c r="D704" s="327"/>
      <c r="E704" s="422"/>
      <c r="F704" s="19"/>
      <c r="H704" s="201" t="str">
        <f>HYPERLINK("http://gocook.dk/gocookbook/3-x-hummus","3x hummus")</f>
        <v>3x hummus</v>
      </c>
      <c r="I704" s="351"/>
      <c r="J704" s="129"/>
      <c r="K704" s="354"/>
      <c r="L704" s="338"/>
      <c r="M704" s="344"/>
      <c r="N704" s="358"/>
    </row>
    <row r="705" spans="1:14" ht="15.5">
      <c r="A705" s="327"/>
      <c r="B705" s="415"/>
      <c r="C705" s="418"/>
      <c r="D705" s="327"/>
      <c r="E705" s="422"/>
      <c r="F705" s="19"/>
      <c r="H705" s="195" t="str">
        <f>HYPERLINK("http://gocook.dk/gocookbook/dahl-indisk-linsesuppe","Dahl indisk linsesuppe")</f>
        <v>Dahl indisk linsesuppe</v>
      </c>
      <c r="I705" s="351"/>
      <c r="J705" s="129"/>
      <c r="K705" s="355"/>
      <c r="L705" s="312"/>
      <c r="M705" s="341"/>
      <c r="N705" s="461"/>
    </row>
    <row r="706" spans="1:14" ht="12.5">
      <c r="A706" s="327"/>
      <c r="B706" s="415"/>
      <c r="C706" s="418"/>
      <c r="D706" s="327"/>
      <c r="E706" s="422"/>
      <c r="F706" s="19"/>
      <c r="H706" s="19"/>
      <c r="I706" s="351"/>
      <c r="J706" s="129"/>
      <c r="K706" s="355"/>
      <c r="L706" s="312"/>
      <c r="M706" s="342"/>
      <c r="N706" s="358"/>
    </row>
    <row r="707" spans="1:14" ht="13" thickBot="1">
      <c r="A707" s="327"/>
      <c r="B707" s="423"/>
      <c r="C707" s="420"/>
      <c r="D707" s="327"/>
      <c r="E707" s="429"/>
      <c r="F707" s="77"/>
      <c r="G707" s="78"/>
      <c r="H707" s="77"/>
      <c r="I707" s="449"/>
      <c r="J707" s="145"/>
      <c r="K707" s="459"/>
      <c r="L707" s="349"/>
      <c r="M707" s="473"/>
      <c r="N707" s="484"/>
    </row>
    <row r="708" spans="1:14" ht="17.25" customHeight="1" thickTop="1" thickBot="1">
      <c r="A708" s="326" t="s">
        <v>502</v>
      </c>
      <c r="B708" s="414" t="s">
        <v>12</v>
      </c>
      <c r="C708" s="425" t="s">
        <v>560</v>
      </c>
      <c r="D708" s="326" t="s">
        <v>503</v>
      </c>
      <c r="E708" s="123"/>
      <c r="F708" s="56" t="s">
        <v>504</v>
      </c>
      <c r="G708" s="57"/>
      <c r="H708" s="58"/>
      <c r="I708" s="139"/>
      <c r="J708" s="139"/>
      <c r="K708" s="140"/>
      <c r="L708" s="140"/>
      <c r="M708" s="165"/>
      <c r="N708" s="176"/>
    </row>
    <row r="709" spans="1:14" ht="17.25" customHeight="1" thickTop="1" thickBot="1">
      <c r="A709" s="327"/>
      <c r="B709" s="415"/>
      <c r="C709" s="418"/>
      <c r="D709" s="327"/>
      <c r="E709" s="430" t="s">
        <v>15</v>
      </c>
      <c r="F709" s="17" t="s">
        <v>505</v>
      </c>
      <c r="H709" s="19"/>
      <c r="I709" s="214"/>
      <c r="J709" s="363" t="s">
        <v>506</v>
      </c>
      <c r="K709" s="353" t="s">
        <v>573</v>
      </c>
      <c r="L709" s="336" t="s">
        <v>599</v>
      </c>
      <c r="M709" s="339" t="s">
        <v>490</v>
      </c>
      <c r="N709" s="357">
        <v>1</v>
      </c>
    </row>
    <row r="710" spans="1:14" ht="16" thickTop="1">
      <c r="A710" s="327"/>
      <c r="B710" s="415"/>
      <c r="C710" s="418"/>
      <c r="D710" s="327"/>
      <c r="E710" s="415"/>
      <c r="F710" s="43" t="s">
        <v>507</v>
      </c>
      <c r="G710" s="71" t="str">
        <f>HYPERLINK("http://gocook.dk/gocook-tv/film-05-jan-fortaeller-om-produktion-af-guleroedder","Jan fortøller om produktion af gulerødder")</f>
        <v>Jan fortøller om produktion af gulerødder</v>
      </c>
      <c r="H710" s="19"/>
      <c r="I710" s="215"/>
      <c r="J710" s="364"/>
      <c r="K710" s="354"/>
      <c r="L710" s="337"/>
      <c r="M710" s="340"/>
      <c r="N710" s="358"/>
    </row>
    <row r="711" spans="1:14" ht="33.75" customHeight="1">
      <c r="A711" s="327"/>
      <c r="B711" s="415"/>
      <c r="C711" s="418"/>
      <c r="D711" s="327"/>
      <c r="E711" s="415"/>
      <c r="F711" s="35" t="s">
        <v>508</v>
      </c>
      <c r="G711" s="50" t="str">
        <f>HYPERLINK("http://gocook.dk/gocook-tv/film-08-jan-fortaeller-om-jordens-betydning","Jan fortæller om jordens betydning")</f>
        <v>Jan fortæller om jordens betydning</v>
      </c>
      <c r="H711" s="19"/>
      <c r="I711" s="215"/>
      <c r="J711" s="364"/>
      <c r="K711" s="354"/>
      <c r="L711" s="337"/>
      <c r="M711" s="340"/>
      <c r="N711" s="358"/>
    </row>
    <row r="712" spans="1:14" ht="15.5">
      <c r="A712" s="327"/>
      <c r="B712" s="415"/>
      <c r="C712" s="418"/>
      <c r="D712" s="327"/>
      <c r="E712" s="415"/>
      <c r="F712" s="43" t="s">
        <v>509</v>
      </c>
      <c r="G712" s="50" t="str">
        <f>HYPERLINK("http://gocook.dk/gocook-tv/film-01-hvorfor-elsker-gorm-guleroedder","Hvorfor elsker Gorm gulerødder")</f>
        <v>Hvorfor elsker Gorm gulerødder</v>
      </c>
      <c r="H712" s="19"/>
      <c r="I712" s="215"/>
      <c r="J712" s="366"/>
      <c r="K712" s="354"/>
      <c r="L712" s="337"/>
      <c r="M712" s="348" t="s">
        <v>495</v>
      </c>
      <c r="N712" s="358"/>
    </row>
    <row r="713" spans="1:14" ht="15.5">
      <c r="A713" s="327"/>
      <c r="B713" s="415"/>
      <c r="C713" s="418"/>
      <c r="D713" s="327"/>
      <c r="E713" s="415"/>
      <c r="F713" s="43" t="s">
        <v>510</v>
      </c>
      <c r="G713" s="50" t="str">
        <f>HYPERLINK("http://gocook.dk/gocook-tv/film-04-jan-fortaeller-om-guleroedder","Jan fortæller om gulerødder")</f>
        <v>Jan fortæller om gulerødder</v>
      </c>
      <c r="H713" s="19"/>
      <c r="I713" s="136"/>
      <c r="J713" s="129"/>
      <c r="K713" s="354"/>
      <c r="L713" s="337"/>
      <c r="M713" s="340"/>
      <c r="N713" s="358"/>
    </row>
    <row r="714" spans="1:14" ht="24" customHeight="1" thickBot="1">
      <c r="A714" s="327"/>
      <c r="B714" s="415"/>
      <c r="C714" s="418"/>
      <c r="D714" s="327"/>
      <c r="E714" s="415"/>
      <c r="F714" s="35" t="s">
        <v>266</v>
      </c>
      <c r="H714" s="19"/>
      <c r="I714" s="136"/>
      <c r="J714" s="129"/>
      <c r="K714" s="354"/>
      <c r="L714" s="337"/>
      <c r="M714" s="344"/>
      <c r="N714" s="359"/>
    </row>
    <row r="715" spans="1:14" ht="15.75" customHeight="1" thickTop="1">
      <c r="A715" s="327"/>
      <c r="B715" s="415"/>
      <c r="C715" s="418"/>
      <c r="D715" s="327"/>
      <c r="E715" s="415"/>
      <c r="F715" s="109" t="s">
        <v>511</v>
      </c>
      <c r="G715" s="50" t="str">
        <f>HYPERLINK("http://gocook.dk/gocook-tv/film-08-jan-fortaeller-om-jordens-betydning","Jan fortæller om jordens betydning")</f>
        <v>Jan fortæller om jordens betydning</v>
      </c>
      <c r="H715" s="19"/>
      <c r="I715" s="136"/>
      <c r="J715" s="129"/>
      <c r="K715" s="354"/>
      <c r="L715" s="345" t="s">
        <v>591</v>
      </c>
      <c r="M715" s="339" t="s">
        <v>144</v>
      </c>
      <c r="N715" s="357">
        <v>1</v>
      </c>
    </row>
    <row r="716" spans="1:14" ht="31.5" thickBot="1">
      <c r="A716" s="327"/>
      <c r="B716" s="415"/>
      <c r="C716" s="418"/>
      <c r="D716" s="327"/>
      <c r="E716" s="415"/>
      <c r="F716" s="109" t="s">
        <v>167</v>
      </c>
      <c r="H716" s="19"/>
      <c r="I716" s="136"/>
      <c r="J716" s="129"/>
      <c r="K716" s="354"/>
      <c r="L716" s="337"/>
      <c r="M716" s="340"/>
      <c r="N716" s="358"/>
    </row>
    <row r="717" spans="1:14" ht="16" thickTop="1">
      <c r="A717" s="327"/>
      <c r="B717" s="415"/>
      <c r="C717" s="418"/>
      <c r="D717" s="327"/>
      <c r="E717" s="414" t="s">
        <v>104</v>
      </c>
      <c r="F717" s="40"/>
      <c r="G717" s="26"/>
      <c r="H717" s="194" t="str">
        <f>HYPERLINK("http://gocook.dk/gocookbook/korn-otto","Korn-otto")</f>
        <v>Korn-otto</v>
      </c>
      <c r="I717" s="370" t="s">
        <v>43</v>
      </c>
      <c r="J717" s="134"/>
      <c r="K717" s="354"/>
      <c r="L717" s="337"/>
      <c r="M717" s="344"/>
      <c r="N717" s="358"/>
    </row>
    <row r="718" spans="1:14" ht="15.5">
      <c r="A718" s="327"/>
      <c r="B718" s="415"/>
      <c r="C718" s="418"/>
      <c r="D718" s="327"/>
      <c r="E718" s="415"/>
      <c r="F718" s="19"/>
      <c r="H718" s="195" t="str">
        <f>HYPERLINK("http://gocook.dk/gocookbook/gulerodsketchup","Gulerodsketchup")</f>
        <v>Gulerodsketchup</v>
      </c>
      <c r="I718" s="351"/>
      <c r="J718" s="129"/>
      <c r="K718" s="354"/>
      <c r="L718" s="337"/>
      <c r="M718" s="361" t="s">
        <v>150</v>
      </c>
      <c r="N718" s="358"/>
    </row>
    <row r="719" spans="1:14" ht="15.5">
      <c r="A719" s="327"/>
      <c r="B719" s="415"/>
      <c r="C719" s="418"/>
      <c r="D719" s="327"/>
      <c r="E719" s="415"/>
      <c r="F719" s="19"/>
      <c r="H719" s="195" t="str">
        <f>HYPERLINK("http://gocook.dk/gocookbook/timianstegte-guleroedder","Timianstegte gulerødder?")</f>
        <v>Timianstegte gulerødder?</v>
      </c>
      <c r="I719" s="351"/>
      <c r="J719" s="129"/>
      <c r="K719" s="354"/>
      <c r="L719" s="337"/>
      <c r="M719" s="340"/>
      <c r="N719" s="358"/>
    </row>
    <row r="720" spans="1:14" ht="12.5">
      <c r="A720" s="327"/>
      <c r="B720" s="415"/>
      <c r="C720" s="418"/>
      <c r="D720" s="327"/>
      <c r="E720" s="415"/>
      <c r="F720" s="19"/>
      <c r="H720" s="19"/>
      <c r="I720" s="351"/>
      <c r="J720" s="129"/>
      <c r="K720" s="354"/>
      <c r="L720" s="337"/>
      <c r="M720" s="340"/>
      <c r="N720" s="358"/>
    </row>
    <row r="721" spans="1:14" ht="13" thickBot="1">
      <c r="A721" s="327"/>
      <c r="B721" s="415"/>
      <c r="C721" s="419"/>
      <c r="D721" s="327"/>
      <c r="E721" s="415"/>
      <c r="F721" s="19"/>
      <c r="H721" s="19"/>
      <c r="I721" s="352"/>
      <c r="J721" s="129"/>
      <c r="K721" s="380"/>
      <c r="L721" s="338"/>
      <c r="M721" s="375"/>
      <c r="N721" s="377"/>
    </row>
    <row r="722" spans="1:14" ht="16" thickBot="1">
      <c r="A722" s="327"/>
      <c r="B722" s="416" t="s">
        <v>12</v>
      </c>
      <c r="C722" s="417" t="s">
        <v>559</v>
      </c>
      <c r="D722" s="327"/>
      <c r="E722" s="122"/>
      <c r="F722" s="31" t="s">
        <v>353</v>
      </c>
      <c r="G722" s="32"/>
      <c r="H722" s="42"/>
      <c r="I722" s="132"/>
      <c r="J722" s="132"/>
      <c r="K722" s="133"/>
      <c r="L722" s="133"/>
      <c r="M722" s="164"/>
      <c r="N722" s="175"/>
    </row>
    <row r="723" spans="1:14" ht="17.25" customHeight="1" thickTop="1" thickBot="1">
      <c r="A723" s="327"/>
      <c r="B723" s="415"/>
      <c r="C723" s="418"/>
      <c r="D723" s="327"/>
      <c r="E723" s="421" t="s">
        <v>78</v>
      </c>
      <c r="F723" s="94" t="s">
        <v>563</v>
      </c>
      <c r="H723" s="19"/>
      <c r="I723" s="350" t="s">
        <v>513</v>
      </c>
      <c r="J723" s="363" t="s">
        <v>512</v>
      </c>
      <c r="K723" s="353" t="s">
        <v>573</v>
      </c>
      <c r="L723" s="336" t="s">
        <v>599</v>
      </c>
      <c r="M723" s="339" t="s">
        <v>396</v>
      </c>
      <c r="N723" s="357">
        <v>2</v>
      </c>
    </row>
    <row r="724" spans="1:14" ht="16" thickTop="1">
      <c r="A724" s="327"/>
      <c r="B724" s="415"/>
      <c r="C724" s="418"/>
      <c r="D724" s="327"/>
      <c r="E724" s="422"/>
      <c r="F724" s="35" t="s">
        <v>514</v>
      </c>
      <c r="H724" s="19"/>
      <c r="I724" s="351"/>
      <c r="J724" s="364"/>
      <c r="K724" s="354"/>
      <c r="L724" s="337"/>
      <c r="M724" s="340"/>
      <c r="N724" s="358"/>
    </row>
    <row r="725" spans="1:14" ht="24" customHeight="1" thickBot="1">
      <c r="A725" s="327"/>
      <c r="B725" s="415"/>
      <c r="C725" s="418"/>
      <c r="D725" s="327"/>
      <c r="E725" s="422"/>
      <c r="F725" s="110" t="s">
        <v>515</v>
      </c>
      <c r="H725" s="19"/>
      <c r="I725" s="351"/>
      <c r="J725" s="366"/>
      <c r="K725" s="354"/>
      <c r="L725" s="337"/>
      <c r="M725" s="340"/>
      <c r="N725" s="358"/>
    </row>
    <row r="726" spans="1:14" ht="16.5" thickTop="1" thickBot="1">
      <c r="A726" s="327"/>
      <c r="B726" s="415"/>
      <c r="C726" s="418"/>
      <c r="D726" s="327"/>
      <c r="E726" s="422"/>
      <c r="F726" s="17" t="s">
        <v>79</v>
      </c>
      <c r="H726" s="19"/>
      <c r="I726" s="351"/>
      <c r="J726" s="129"/>
      <c r="K726" s="354"/>
      <c r="L726" s="337"/>
      <c r="M726" s="348" t="s">
        <v>400</v>
      </c>
      <c r="N726" s="358"/>
    </row>
    <row r="727" spans="1:14" ht="16" thickTop="1">
      <c r="A727" s="327"/>
      <c r="B727" s="415"/>
      <c r="C727" s="418"/>
      <c r="D727" s="327"/>
      <c r="E727" s="422"/>
      <c r="F727" s="35" t="s">
        <v>516</v>
      </c>
      <c r="H727" s="19"/>
      <c r="I727" s="351"/>
      <c r="J727" s="129"/>
      <c r="K727" s="354"/>
      <c r="L727" s="337"/>
      <c r="M727" s="340"/>
      <c r="N727" s="358"/>
    </row>
    <row r="728" spans="1:14" ht="32.25" customHeight="1" thickBot="1">
      <c r="A728" s="327"/>
      <c r="B728" s="415"/>
      <c r="C728" s="418"/>
      <c r="D728" s="327"/>
      <c r="E728" s="422"/>
      <c r="F728" s="35" t="s">
        <v>517</v>
      </c>
      <c r="H728" s="19"/>
      <c r="I728" s="351"/>
      <c r="J728" s="129"/>
      <c r="K728" s="380"/>
      <c r="L728" s="337"/>
      <c r="M728" s="340"/>
      <c r="N728" s="358"/>
    </row>
    <row r="729" spans="1:14" ht="12.75" customHeight="1" thickTop="1">
      <c r="A729" s="327"/>
      <c r="B729" s="415"/>
      <c r="C729" s="418"/>
      <c r="D729" s="327"/>
      <c r="E729" s="422"/>
      <c r="F729" s="19"/>
      <c r="H729" s="19"/>
      <c r="I729" s="351"/>
      <c r="J729" s="129"/>
      <c r="K729" s="353" t="s">
        <v>584</v>
      </c>
      <c r="L729" s="345" t="s">
        <v>589</v>
      </c>
      <c r="M729" s="339" t="s">
        <v>518</v>
      </c>
      <c r="N729" s="357">
        <v>2</v>
      </c>
    </row>
    <row r="730" spans="1:14" ht="13" thickBot="1">
      <c r="A730" s="327"/>
      <c r="B730" s="415"/>
      <c r="C730" s="418"/>
      <c r="D730" s="327"/>
      <c r="E730" s="422"/>
      <c r="F730" s="19"/>
      <c r="H730" s="19"/>
      <c r="I730" s="449"/>
      <c r="J730" s="129"/>
      <c r="K730" s="354"/>
      <c r="L730" s="337"/>
      <c r="M730" s="340"/>
      <c r="N730" s="358"/>
    </row>
    <row r="731" spans="1:14" ht="29.25" customHeight="1" thickTop="1">
      <c r="A731" s="327"/>
      <c r="B731" s="415"/>
      <c r="C731" s="418"/>
      <c r="D731" s="327"/>
      <c r="E731" s="428" t="s">
        <v>42</v>
      </c>
      <c r="F731" s="40"/>
      <c r="G731" s="26"/>
      <c r="H731" s="194" t="str">
        <f>HYPERLINK("http://gocook.dk/gocookbook/frikadeller-med-kylling","Frikadeller med kylling")</f>
        <v>Frikadeller med kylling</v>
      </c>
      <c r="I731" s="370" t="s">
        <v>43</v>
      </c>
      <c r="J731" s="134"/>
      <c r="K731" s="354"/>
      <c r="L731" s="337"/>
      <c r="M731" s="344"/>
      <c r="N731" s="358"/>
    </row>
    <row r="732" spans="1:14" ht="15.5">
      <c r="A732" s="327"/>
      <c r="B732" s="415"/>
      <c r="C732" s="418"/>
      <c r="D732" s="327"/>
      <c r="E732" s="422"/>
      <c r="F732" s="19"/>
      <c r="H732" s="195" t="str">
        <f>HYPERLINK("http://gocook.dk/gocookbook/chili-sin-carne","Chili sin carne")</f>
        <v>Chili sin carne</v>
      </c>
      <c r="I732" s="351"/>
      <c r="J732" s="129"/>
      <c r="K732" s="354"/>
      <c r="L732" s="337"/>
      <c r="M732" s="361" t="s">
        <v>445</v>
      </c>
      <c r="N732" s="358"/>
    </row>
    <row r="733" spans="1:14" ht="15.5">
      <c r="A733" s="327"/>
      <c r="B733" s="415"/>
      <c r="C733" s="418"/>
      <c r="D733" s="327"/>
      <c r="E733" s="422"/>
      <c r="F733" s="19"/>
      <c r="H733" s="195" t="str">
        <f>HYPERLINK("http://gocook.dk/gocookbook/sorte-boenner-i-panderet","Sortebønner i panderet")</f>
        <v>Sortebønner i panderet</v>
      </c>
      <c r="I733" s="351"/>
      <c r="J733" s="129"/>
      <c r="K733" s="354"/>
      <c r="L733" s="337"/>
      <c r="M733" s="340"/>
      <c r="N733" s="358"/>
    </row>
    <row r="734" spans="1:14" ht="12.5">
      <c r="A734" s="327"/>
      <c r="B734" s="415"/>
      <c r="C734" s="418"/>
      <c r="D734" s="327"/>
      <c r="E734" s="422"/>
      <c r="F734" s="19"/>
      <c r="H734" s="19"/>
      <c r="I734" s="351"/>
      <c r="J734" s="129"/>
      <c r="K734" s="354"/>
      <c r="L734" s="337"/>
      <c r="M734" s="340"/>
      <c r="N734" s="358"/>
    </row>
    <row r="735" spans="1:14" ht="26.25" customHeight="1" thickBot="1">
      <c r="A735" s="327"/>
      <c r="B735" s="415"/>
      <c r="C735" s="419"/>
      <c r="D735" s="327"/>
      <c r="E735" s="422"/>
      <c r="F735" s="19"/>
      <c r="H735" s="19"/>
      <c r="I735" s="352"/>
      <c r="J735" s="129"/>
      <c r="K735" s="380"/>
      <c r="L735" s="338"/>
      <c r="M735" s="375"/>
      <c r="N735" s="377"/>
    </row>
    <row r="736" spans="1:14" ht="16" thickBot="1">
      <c r="A736" s="327"/>
      <c r="B736" s="416" t="s">
        <v>12</v>
      </c>
      <c r="C736" s="417" t="s">
        <v>560</v>
      </c>
      <c r="D736" s="327"/>
      <c r="E736" s="122"/>
      <c r="F736" s="31" t="s">
        <v>519</v>
      </c>
      <c r="G736" s="32"/>
      <c r="H736" s="42"/>
      <c r="I736" s="132"/>
      <c r="J736" s="132"/>
      <c r="K736" s="133"/>
      <c r="L736" s="133"/>
      <c r="M736" s="164"/>
      <c r="N736" s="175"/>
    </row>
    <row r="737" spans="1:14" ht="17.25" customHeight="1" thickTop="1" thickBot="1">
      <c r="A737" s="327"/>
      <c r="B737" s="415"/>
      <c r="C737" s="418"/>
      <c r="D737" s="327"/>
      <c r="E737" s="434" t="s">
        <v>15</v>
      </c>
      <c r="F737" s="94" t="s">
        <v>563</v>
      </c>
      <c r="G737" s="18"/>
      <c r="I737" s="129"/>
      <c r="J737" s="384" t="s">
        <v>520</v>
      </c>
      <c r="K737" s="353" t="s">
        <v>573</v>
      </c>
      <c r="L737" s="336" t="s">
        <v>591</v>
      </c>
      <c r="M737" s="339" t="s">
        <v>144</v>
      </c>
      <c r="N737" s="357">
        <v>1</v>
      </c>
    </row>
    <row r="738" spans="1:14" ht="16" thickTop="1">
      <c r="A738" s="327"/>
      <c r="B738" s="415"/>
      <c r="C738" s="418"/>
      <c r="D738" s="327"/>
      <c r="E738" s="433"/>
      <c r="F738" s="22" t="s">
        <v>521</v>
      </c>
      <c r="G738" s="19"/>
      <c r="I738" s="129"/>
      <c r="J738" s="385"/>
      <c r="K738" s="354"/>
      <c r="L738" s="337"/>
      <c r="M738" s="340"/>
      <c r="N738" s="358"/>
    </row>
    <row r="739" spans="1:14" ht="30.75" customHeight="1">
      <c r="A739" s="327"/>
      <c r="B739" s="415"/>
      <c r="C739" s="418"/>
      <c r="D739" s="327"/>
      <c r="E739" s="433"/>
      <c r="F739" s="35" t="s">
        <v>522</v>
      </c>
      <c r="G739" s="18"/>
      <c r="I739" s="129"/>
      <c r="J739" s="410" t="s">
        <v>523</v>
      </c>
      <c r="K739" s="354"/>
      <c r="L739" s="337"/>
      <c r="M739" s="344"/>
      <c r="N739" s="358"/>
    </row>
    <row r="740" spans="1:14" ht="15.5">
      <c r="A740" s="327"/>
      <c r="B740" s="415"/>
      <c r="C740" s="418"/>
      <c r="D740" s="327"/>
      <c r="E740" s="433"/>
      <c r="F740" s="35" t="s">
        <v>524</v>
      </c>
      <c r="G740" s="18"/>
      <c r="I740" s="129"/>
      <c r="J740" s="385"/>
      <c r="K740" s="354"/>
      <c r="L740" s="337"/>
      <c r="M740" s="361" t="s">
        <v>150</v>
      </c>
      <c r="N740" s="358"/>
    </row>
    <row r="741" spans="1:14" ht="15.5">
      <c r="A741" s="327"/>
      <c r="B741" s="415"/>
      <c r="C741" s="418"/>
      <c r="D741" s="327"/>
      <c r="E741" s="433"/>
      <c r="F741" s="35" t="s">
        <v>525</v>
      </c>
      <c r="G741" s="18"/>
      <c r="I741" s="129"/>
      <c r="J741" s="386"/>
      <c r="K741" s="354"/>
      <c r="L741" s="337"/>
      <c r="M741" s="340"/>
      <c r="N741" s="358"/>
    </row>
    <row r="742" spans="1:14" ht="24.75" customHeight="1" thickBot="1">
      <c r="A742" s="327"/>
      <c r="B742" s="415"/>
      <c r="C742" s="418"/>
      <c r="D742" s="327"/>
      <c r="E742" s="433"/>
      <c r="F742" s="35" t="s">
        <v>526</v>
      </c>
      <c r="G742" s="18"/>
      <c r="I742" s="129"/>
      <c r="J742" s="154"/>
      <c r="K742" s="354"/>
      <c r="L742" s="338"/>
      <c r="M742" s="344"/>
      <c r="N742" s="359"/>
    </row>
    <row r="743" spans="1:14" ht="15.5">
      <c r="A743" s="327"/>
      <c r="B743" s="415"/>
      <c r="C743" s="418"/>
      <c r="D743" s="327"/>
      <c r="E743" s="433"/>
      <c r="F743" s="35" t="s">
        <v>527</v>
      </c>
      <c r="G743" s="202" t="str">
        <f>HYPERLINK("http://gocook.dk/kokkeskolen/noedder-hakke","Nødder, hakke")</f>
        <v>Nødder, hakke</v>
      </c>
      <c r="I743" s="129"/>
      <c r="J743" s="131"/>
      <c r="K743" s="355"/>
      <c r="L743" s="346"/>
      <c r="M743" s="341"/>
      <c r="N743" s="360"/>
    </row>
    <row r="744" spans="1:14" ht="15.5">
      <c r="A744" s="327"/>
      <c r="B744" s="415"/>
      <c r="C744" s="418"/>
      <c r="D744" s="327"/>
      <c r="E744" s="433"/>
      <c r="F744" s="35" t="s">
        <v>528</v>
      </c>
      <c r="G744" s="202" t="str">
        <f>HYPERLINK("http://gocook.dk/gocookbook/knasende-chokotoppe","Knasende chokotoppe")</f>
        <v>Knasende chokotoppe</v>
      </c>
      <c r="I744" s="129"/>
      <c r="J744" s="131"/>
      <c r="K744" s="355"/>
      <c r="L744" s="346"/>
      <c r="M744" s="342"/>
      <c r="N744" s="358"/>
    </row>
    <row r="745" spans="1:14" ht="15.5">
      <c r="A745" s="327"/>
      <c r="B745" s="415"/>
      <c r="C745" s="418"/>
      <c r="D745" s="327"/>
      <c r="E745" s="433"/>
      <c r="F745" s="35" t="s">
        <v>529</v>
      </c>
      <c r="G745" s="202" t="str">
        <f>HYPERLINK("http://gocook.dk/gocookbook/mangosalat","Mangosalat")</f>
        <v>Mangosalat</v>
      </c>
      <c r="I745" s="129"/>
      <c r="J745" s="131"/>
      <c r="K745" s="355"/>
      <c r="L745" s="346"/>
      <c r="M745" s="342"/>
      <c r="N745" s="358"/>
    </row>
    <row r="746" spans="1:14" ht="16" thickBot="1">
      <c r="A746" s="327"/>
      <c r="B746" s="415"/>
      <c r="C746" s="418"/>
      <c r="D746" s="327"/>
      <c r="E746" s="433"/>
      <c r="F746" s="111" t="s">
        <v>530</v>
      </c>
      <c r="G746" s="19"/>
      <c r="I746" s="129"/>
      <c r="J746" s="131"/>
      <c r="K746" s="355"/>
      <c r="L746" s="346"/>
      <c r="M746" s="342"/>
      <c r="N746" s="358"/>
    </row>
    <row r="747" spans="1:14" ht="13" thickTop="1">
      <c r="A747" s="327"/>
      <c r="B747" s="415"/>
      <c r="C747" s="418"/>
      <c r="D747" s="327"/>
      <c r="E747" s="432" t="s">
        <v>104</v>
      </c>
      <c r="F747" s="26"/>
      <c r="G747" s="40"/>
      <c r="H747" s="523" t="str">
        <f>HYPERLINK("http://gocook.dk/gocookbook/couscoussalat-med-toerrede-frugter-og-noedder","Couscoussalat med tørrede frugter og nødder?")</f>
        <v>Couscoussalat med tørrede frugter og nødder?</v>
      </c>
      <c r="I747" s="390" t="s">
        <v>43</v>
      </c>
      <c r="J747" s="130"/>
      <c r="K747" s="355"/>
      <c r="L747" s="346"/>
      <c r="M747" s="342"/>
      <c r="N747" s="358"/>
    </row>
    <row r="748" spans="1:14" ht="12.5">
      <c r="A748" s="327"/>
      <c r="B748" s="415"/>
      <c r="C748" s="418"/>
      <c r="D748" s="327"/>
      <c r="E748" s="433"/>
      <c r="G748" s="19"/>
      <c r="H748" s="524"/>
      <c r="I748" s="391"/>
      <c r="J748" s="131"/>
      <c r="K748" s="355"/>
      <c r="L748" s="346"/>
      <c r="M748" s="342"/>
      <c r="N748" s="358"/>
    </row>
    <row r="749" spans="1:14" ht="15.5">
      <c r="A749" s="327"/>
      <c r="B749" s="415"/>
      <c r="C749" s="418"/>
      <c r="D749" s="327"/>
      <c r="E749" s="433"/>
      <c r="G749" s="19"/>
      <c r="H749" s="198" t="str">
        <f>HYPERLINK("http://gocook.dk/gocookbook/hjemmelavet-mysli","Hjemmelavet mysli")</f>
        <v>Hjemmelavet mysli</v>
      </c>
      <c r="I749" s="391"/>
      <c r="J749" s="131"/>
      <c r="K749" s="355"/>
      <c r="L749" s="346"/>
      <c r="M749" s="342"/>
      <c r="N749" s="358"/>
    </row>
    <row r="750" spans="1:14" ht="12.5">
      <c r="A750" s="327"/>
      <c r="B750" s="415"/>
      <c r="C750" s="418"/>
      <c r="D750" s="327"/>
      <c r="E750" s="433"/>
      <c r="G750" s="19"/>
      <c r="I750" s="391"/>
      <c r="J750" s="131"/>
      <c r="K750" s="355"/>
      <c r="L750" s="346"/>
      <c r="M750" s="342"/>
      <c r="N750" s="358"/>
    </row>
    <row r="751" spans="1:14" ht="13" thickBot="1">
      <c r="A751" s="327"/>
      <c r="B751" s="415"/>
      <c r="C751" s="419"/>
      <c r="D751" s="327"/>
      <c r="E751" s="433"/>
      <c r="G751" s="19"/>
      <c r="I751" s="392"/>
      <c r="J751" s="131"/>
      <c r="K751" s="459"/>
      <c r="L751" s="485"/>
      <c r="M751" s="362"/>
      <c r="N751" s="377"/>
    </row>
    <row r="752" spans="1:14" ht="17.25" customHeight="1" thickTop="1" thickBot="1">
      <c r="A752" s="326" t="s">
        <v>531</v>
      </c>
      <c r="B752" s="414" t="s">
        <v>12</v>
      </c>
      <c r="C752" s="425" t="s">
        <v>560</v>
      </c>
      <c r="D752" s="326" t="s">
        <v>532</v>
      </c>
      <c r="E752" s="123"/>
      <c r="F752" s="56" t="s">
        <v>533</v>
      </c>
      <c r="G752" s="57"/>
      <c r="H752" s="58"/>
      <c r="I752" s="139"/>
      <c r="J752" s="139"/>
      <c r="K752" s="140"/>
      <c r="L752" s="140"/>
      <c r="M752" s="165"/>
      <c r="N752" s="176"/>
    </row>
    <row r="753" spans="1:14" ht="17.25" customHeight="1" thickTop="1" thickBot="1">
      <c r="A753" s="327"/>
      <c r="B753" s="415"/>
      <c r="C753" s="418"/>
      <c r="D753" s="327"/>
      <c r="E753" s="430" t="s">
        <v>15</v>
      </c>
      <c r="F753" s="17" t="s">
        <v>532</v>
      </c>
      <c r="G753" s="493" t="str">
        <f>HYPERLINK("http://gocook.dk/gocook-tv/film-18-den-afrikanske-familie-laver-mad-og-spiser-sammen","Den afrikanske familie laver mad og spiser sammen")</f>
        <v>Den afrikanske familie laver mad og spiser sammen</v>
      </c>
      <c r="H753" s="112"/>
      <c r="I753" s="350" t="s">
        <v>535</v>
      </c>
      <c r="J753" s="363" t="s">
        <v>534</v>
      </c>
      <c r="K753" s="453" t="s">
        <v>587</v>
      </c>
      <c r="L753" s="336" t="s">
        <v>589</v>
      </c>
      <c r="M753" s="339" t="s">
        <v>604</v>
      </c>
      <c r="N753" s="381">
        <v>1</v>
      </c>
    </row>
    <row r="754" spans="1:14" ht="16" thickTop="1">
      <c r="A754" s="327"/>
      <c r="B754" s="415"/>
      <c r="C754" s="418"/>
      <c r="D754" s="327"/>
      <c r="E754" s="415"/>
      <c r="F754" s="35" t="s">
        <v>536</v>
      </c>
      <c r="G754" s="494"/>
      <c r="H754" s="19"/>
      <c r="I754" s="351"/>
      <c r="J754" s="364"/>
      <c r="K754" s="354"/>
      <c r="L754" s="337"/>
      <c r="M754" s="340"/>
      <c r="N754" s="372"/>
    </row>
    <row r="755" spans="1:14" ht="19" customHeight="1">
      <c r="A755" s="327"/>
      <c r="B755" s="415"/>
      <c r="C755" s="418"/>
      <c r="D755" s="327"/>
      <c r="E755" s="415"/>
      <c r="F755" s="19"/>
      <c r="G755" s="495" t="str">
        <f>HYPERLINK("http://gocook.dk/gocook-tv/film-21-se-messalina-bage-tortillas-til-retten-quesadillas","Se messalina bage tortillas til retten quesadillas")</f>
        <v>Se messalina bage tortillas til retten quesadillas</v>
      </c>
      <c r="H755" s="19"/>
      <c r="I755" s="351"/>
      <c r="J755" s="364"/>
      <c r="K755" s="354"/>
      <c r="L755" s="337"/>
      <c r="M755" s="348" t="s">
        <v>537</v>
      </c>
      <c r="N755" s="372"/>
    </row>
    <row r="756" spans="1:14" ht="12.5">
      <c r="A756" s="327"/>
      <c r="B756" s="415"/>
      <c r="C756" s="418"/>
      <c r="D756" s="327"/>
      <c r="E756" s="415"/>
      <c r="F756" s="19"/>
      <c r="G756" s="494"/>
      <c r="H756" s="19"/>
      <c r="I756" s="351"/>
      <c r="J756" s="366"/>
      <c r="K756" s="354"/>
      <c r="L756" s="337"/>
      <c r="M756" s="340"/>
      <c r="N756" s="372"/>
    </row>
    <row r="757" spans="1:14" ht="15.5">
      <c r="A757" s="327"/>
      <c r="B757" s="415"/>
      <c r="C757" s="418"/>
      <c r="D757" s="327"/>
      <c r="E757" s="415"/>
      <c r="F757" s="19"/>
      <c r="G757" s="50" t="str">
        <f>HYPERLINK("http://gocook.dk/gocook-tv/mikkel-besoeger-byens-kok-i-prag","Mikkel besøger byens kok i Prag")</f>
        <v>Mikkel besøger byens kok i Prag</v>
      </c>
      <c r="H757" s="19"/>
      <c r="I757" s="352"/>
      <c r="J757" s="204"/>
      <c r="K757" s="354"/>
      <c r="L757" s="337"/>
      <c r="M757" s="340"/>
      <c r="N757" s="372"/>
    </row>
    <row r="758" spans="1:14" ht="12.5">
      <c r="A758" s="327"/>
      <c r="B758" s="415"/>
      <c r="C758" s="418"/>
      <c r="D758" s="327"/>
      <c r="E758" s="415"/>
      <c r="F758" s="19"/>
      <c r="G758" s="493" t="str">
        <f>HYPERLINK("http://gocook.dk/gocook-tv/mikkel-besoger-byens-kok-pa-pampassen-i-argentina","Mikkel besøger byens kok på Pampassen i Argentina")</f>
        <v>Mikkel besøger byens kok på Pampassen i Argentina</v>
      </c>
      <c r="H758" s="19"/>
      <c r="I758" s="496" t="s">
        <v>538</v>
      </c>
      <c r="J758" s="135"/>
      <c r="K758" s="354"/>
      <c r="L758" s="337"/>
      <c r="M758" s="340"/>
      <c r="N758" s="372"/>
    </row>
    <row r="759" spans="1:14" ht="19.5" customHeight="1">
      <c r="A759" s="327"/>
      <c r="B759" s="415"/>
      <c r="C759" s="418"/>
      <c r="D759" s="327"/>
      <c r="E759" s="415"/>
      <c r="F759" s="19"/>
      <c r="G759" s="494"/>
      <c r="H759" s="19"/>
      <c r="I759" s="391"/>
      <c r="J759" s="135"/>
      <c r="K759" s="354"/>
      <c r="L759" s="337"/>
      <c r="M759" s="340"/>
      <c r="N759" s="372"/>
    </row>
    <row r="760" spans="1:14" ht="19.5" customHeight="1" thickBot="1">
      <c r="A760" s="327"/>
      <c r="B760" s="415"/>
      <c r="C760" s="418"/>
      <c r="D760" s="327"/>
      <c r="E760" s="415"/>
      <c r="F760" s="19"/>
      <c r="G760" s="50" t="str">
        <f>HYPERLINK("http://gocook.dk/gocook-tv/mikkel-besoger-gorm-i-kobenhavn","Mikkel besøger Gorm i København")</f>
        <v>Mikkel besøger Gorm i København</v>
      </c>
      <c r="H760" s="19"/>
      <c r="I760" s="391"/>
      <c r="J760" s="135"/>
      <c r="K760" s="380"/>
      <c r="L760" s="522"/>
      <c r="M760" s="340"/>
      <c r="N760" s="372"/>
    </row>
    <row r="761" spans="1:14" ht="15.75" customHeight="1" thickTop="1">
      <c r="A761" s="327"/>
      <c r="B761" s="415"/>
      <c r="C761" s="418"/>
      <c r="D761" s="327"/>
      <c r="E761" s="414" t="s">
        <v>42</v>
      </c>
      <c r="F761" s="40"/>
      <c r="G761" s="26"/>
      <c r="H761" s="113"/>
      <c r="I761" s="370" t="s">
        <v>43</v>
      </c>
      <c r="J761" s="134"/>
      <c r="K761" s="474" t="s">
        <v>586</v>
      </c>
      <c r="L761" s="345" t="s">
        <v>598</v>
      </c>
      <c r="M761" s="339" t="s">
        <v>481</v>
      </c>
      <c r="N761" s="381">
        <v>2</v>
      </c>
    </row>
    <row r="762" spans="1:14" ht="15.5">
      <c r="A762" s="327"/>
      <c r="B762" s="415"/>
      <c r="C762" s="418"/>
      <c r="D762" s="327"/>
      <c r="E762" s="415"/>
      <c r="F762" s="19"/>
      <c r="H762" s="114"/>
      <c r="I762" s="351"/>
      <c r="J762" s="129"/>
      <c r="K762" s="354"/>
      <c r="L762" s="337"/>
      <c r="M762" s="340"/>
      <c r="N762" s="372"/>
    </row>
    <row r="763" spans="1:14" ht="22.5" customHeight="1">
      <c r="A763" s="327"/>
      <c r="B763" s="415"/>
      <c r="C763" s="418"/>
      <c r="D763" s="327"/>
      <c r="E763" s="415"/>
      <c r="F763" s="19"/>
      <c r="H763" s="82"/>
      <c r="I763" s="351"/>
      <c r="J763" s="129"/>
      <c r="K763" s="354"/>
      <c r="L763" s="337"/>
      <c r="M763" s="340"/>
      <c r="N763" s="372"/>
    </row>
    <row r="764" spans="1:14" ht="15.5">
      <c r="A764" s="327"/>
      <c r="B764" s="415"/>
      <c r="C764" s="418"/>
      <c r="D764" s="327"/>
      <c r="E764" s="415"/>
      <c r="F764" s="19"/>
      <c r="H764" s="82"/>
      <c r="I764" s="351"/>
      <c r="J764" s="129"/>
      <c r="K764" s="354"/>
      <c r="L764" s="337"/>
      <c r="M764" s="348" t="s">
        <v>285</v>
      </c>
      <c r="N764" s="372"/>
    </row>
    <row r="765" spans="1:14" ht="32.25" customHeight="1" thickBot="1">
      <c r="A765" s="327"/>
      <c r="B765" s="415"/>
      <c r="C765" s="419"/>
      <c r="D765" s="327"/>
      <c r="E765" s="415"/>
      <c r="F765" s="19"/>
      <c r="H765" s="82"/>
      <c r="I765" s="352"/>
      <c r="J765" s="129"/>
      <c r="K765" s="380"/>
      <c r="L765" s="338"/>
      <c r="M765" s="375"/>
      <c r="N765" s="374"/>
    </row>
    <row r="766" spans="1:14" ht="16" thickBot="1">
      <c r="A766" s="327"/>
      <c r="B766" s="416" t="s">
        <v>12</v>
      </c>
      <c r="C766" s="417" t="s">
        <v>560</v>
      </c>
      <c r="D766" s="327"/>
      <c r="E766" s="122"/>
      <c r="F766" s="31" t="s">
        <v>539</v>
      </c>
      <c r="G766" s="32"/>
      <c r="H766" s="42"/>
      <c r="I766" s="132"/>
      <c r="J766" s="132"/>
      <c r="K766" s="133"/>
      <c r="L766" s="133"/>
      <c r="M766" s="164"/>
      <c r="N766" s="175"/>
    </row>
    <row r="767" spans="1:14" ht="17.25" customHeight="1" thickTop="1" thickBot="1">
      <c r="A767" s="327"/>
      <c r="B767" s="415"/>
      <c r="C767" s="418"/>
      <c r="D767" s="327"/>
      <c r="E767" s="421" t="s">
        <v>15</v>
      </c>
      <c r="F767" s="94" t="s">
        <v>563</v>
      </c>
      <c r="H767" s="19"/>
      <c r="I767" s="350" t="s">
        <v>541</v>
      </c>
      <c r="J767" s="363" t="s">
        <v>540</v>
      </c>
      <c r="K767" s="353" t="s">
        <v>581</v>
      </c>
      <c r="L767" s="336" t="s">
        <v>591</v>
      </c>
      <c r="M767" s="339" t="s">
        <v>144</v>
      </c>
      <c r="N767" s="357">
        <v>1</v>
      </c>
    </row>
    <row r="768" spans="1:14" ht="16" thickTop="1">
      <c r="A768" s="327"/>
      <c r="B768" s="415"/>
      <c r="C768" s="418"/>
      <c r="D768" s="327"/>
      <c r="E768" s="422"/>
      <c r="F768" s="15" t="s">
        <v>22</v>
      </c>
      <c r="G768" s="19"/>
      <c r="H768" s="19"/>
      <c r="I768" s="351"/>
      <c r="J768" s="364"/>
      <c r="K768" s="354"/>
      <c r="L768" s="337"/>
      <c r="M768" s="340"/>
      <c r="N768" s="358"/>
    </row>
    <row r="769" spans="1:14" ht="34.5" customHeight="1">
      <c r="A769" s="327"/>
      <c r="B769" s="415"/>
      <c r="C769" s="418"/>
      <c r="D769" s="327"/>
      <c r="E769" s="422"/>
      <c r="F769" s="19"/>
      <c r="G769" s="19"/>
      <c r="H769" s="19"/>
      <c r="I769" s="351"/>
      <c r="J769" s="365" t="s">
        <v>542</v>
      </c>
      <c r="K769" s="354"/>
      <c r="L769" s="337"/>
      <c r="M769" s="344"/>
      <c r="N769" s="358"/>
    </row>
    <row r="770" spans="1:14" ht="15.5">
      <c r="A770" s="327"/>
      <c r="B770" s="415"/>
      <c r="C770" s="418"/>
      <c r="D770" s="327"/>
      <c r="E770" s="422"/>
      <c r="F770" s="19"/>
      <c r="G770" s="23" t="str">
        <f>HYPERLINK("http://gocook.dk/kokkeskolen/maaleskeer","Måleskeer")</f>
        <v>Måleskeer</v>
      </c>
      <c r="H770" s="19"/>
      <c r="I770" s="350" t="s">
        <v>543</v>
      </c>
      <c r="J770" s="364"/>
      <c r="K770" s="354"/>
      <c r="L770" s="337"/>
      <c r="M770" s="361" t="s">
        <v>150</v>
      </c>
      <c r="N770" s="358"/>
    </row>
    <row r="771" spans="1:14" ht="15.5">
      <c r="A771" s="327"/>
      <c r="B771" s="415"/>
      <c r="C771" s="418"/>
      <c r="D771" s="327"/>
      <c r="E771" s="422"/>
      <c r="F771" s="35"/>
      <c r="G771" s="50" t="str">
        <f>HYPERLINK("http://gocook.dk/gocook-tv#60-juniorkokke","GoCook TV, Juniorkokke")</f>
        <v>GoCook TV, Juniorkokke</v>
      </c>
      <c r="H771" s="19"/>
      <c r="I771" s="351"/>
      <c r="J771" s="366"/>
      <c r="K771" s="354"/>
      <c r="L771" s="337"/>
      <c r="M771" s="340"/>
      <c r="N771" s="358"/>
    </row>
    <row r="772" spans="1:14" ht="16" thickBot="1">
      <c r="A772" s="327"/>
      <c r="B772" s="415"/>
      <c r="C772" s="418"/>
      <c r="D772" s="327"/>
      <c r="E772" s="422"/>
      <c r="F772" s="19"/>
      <c r="G772" s="50" t="str">
        <f>HYPERLINK("http://gocook.dk/leksikon","GoCook, Leksikon")</f>
        <v>GoCook, Leksikon</v>
      </c>
      <c r="H772" s="19"/>
      <c r="I772" s="351"/>
      <c r="J772" s="363" t="s">
        <v>544</v>
      </c>
      <c r="K772" s="354"/>
      <c r="L772" s="337"/>
      <c r="M772" s="340"/>
      <c r="N772" s="358"/>
    </row>
    <row r="773" spans="1:14" ht="16.5" thickTop="1" thickBot="1">
      <c r="A773" s="327"/>
      <c r="B773" s="415"/>
      <c r="C773" s="418"/>
      <c r="D773" s="327"/>
      <c r="E773" s="422"/>
      <c r="F773" s="115" t="s">
        <v>532</v>
      </c>
      <c r="H773" s="19"/>
      <c r="I773" s="352"/>
      <c r="J773" s="364"/>
      <c r="K773" s="354"/>
      <c r="L773" s="337"/>
      <c r="M773" s="344"/>
      <c r="N773" s="359"/>
    </row>
    <row r="774" spans="1:14" ht="16" thickTop="1">
      <c r="A774" s="327"/>
      <c r="B774" s="415"/>
      <c r="C774" s="418"/>
      <c r="D774" s="327"/>
      <c r="E774" s="422"/>
      <c r="F774" s="35" t="s">
        <v>605</v>
      </c>
      <c r="H774" s="19"/>
      <c r="I774" s="19"/>
      <c r="J774" s="364"/>
      <c r="K774" s="354"/>
      <c r="L774" s="345" t="s">
        <v>592</v>
      </c>
      <c r="M774" s="339" t="s">
        <v>545</v>
      </c>
      <c r="N774" s="357">
        <v>2</v>
      </c>
    </row>
    <row r="775" spans="1:14" ht="15.5">
      <c r="A775" s="327"/>
      <c r="B775" s="415"/>
      <c r="C775" s="418"/>
      <c r="D775" s="327"/>
      <c r="E775" s="422"/>
      <c r="F775" s="35" t="s">
        <v>606</v>
      </c>
      <c r="H775" s="19"/>
      <c r="I775" s="19"/>
      <c r="J775" s="366"/>
      <c r="K775" s="354"/>
      <c r="L775" s="337"/>
      <c r="M775" s="340"/>
      <c r="N775" s="358"/>
    </row>
    <row r="776" spans="1:14" ht="15.5">
      <c r="A776" s="327"/>
      <c r="B776" s="415"/>
      <c r="C776" s="418"/>
      <c r="D776" s="327"/>
      <c r="E776" s="422"/>
      <c r="F776" s="35" t="s">
        <v>607</v>
      </c>
      <c r="H776" s="19"/>
      <c r="I776" s="19"/>
      <c r="J776" s="129"/>
      <c r="K776" s="354"/>
      <c r="L776" s="337"/>
      <c r="M776" s="340"/>
      <c r="N776" s="358"/>
    </row>
    <row r="777" spans="1:14" ht="12.5">
      <c r="A777" s="327"/>
      <c r="B777" s="415"/>
      <c r="C777" s="418"/>
      <c r="D777" s="327"/>
      <c r="E777" s="422"/>
      <c r="F777" s="19"/>
      <c r="H777" s="19"/>
      <c r="I777" s="19"/>
      <c r="J777" s="129"/>
      <c r="K777" s="354"/>
      <c r="L777" s="337"/>
      <c r="M777" s="340"/>
      <c r="N777" s="358"/>
    </row>
    <row r="778" spans="1:14" ht="12.5">
      <c r="A778" s="327"/>
      <c r="B778" s="415"/>
      <c r="C778" s="418"/>
      <c r="D778" s="327"/>
      <c r="E778" s="422"/>
      <c r="F778" s="19"/>
      <c r="H778" s="19"/>
      <c r="I778" s="19"/>
      <c r="J778" s="129"/>
      <c r="K778" s="354"/>
      <c r="L778" s="337"/>
      <c r="M778" s="340"/>
      <c r="N778" s="358"/>
    </row>
    <row r="779" spans="1:14" ht="13" thickBot="1">
      <c r="A779" s="327"/>
      <c r="B779" s="415"/>
      <c r="C779" s="418"/>
      <c r="D779" s="327"/>
      <c r="E779" s="422"/>
      <c r="F779" s="19"/>
      <c r="H779" s="19"/>
      <c r="I779" s="19"/>
      <c r="J779" s="129"/>
      <c r="K779" s="378"/>
      <c r="L779" s="338"/>
      <c r="M779" s="340"/>
      <c r="N779" s="358"/>
    </row>
    <row r="780" spans="1:14" ht="13.5" customHeight="1" thickTop="1">
      <c r="A780" s="327"/>
      <c r="B780" s="415"/>
      <c r="C780" s="418"/>
      <c r="D780" s="327"/>
      <c r="E780" s="422"/>
      <c r="F780" s="19"/>
      <c r="H780" s="19"/>
      <c r="I780" s="19"/>
      <c r="J780" s="129"/>
      <c r="K780" s="379" t="s">
        <v>575</v>
      </c>
      <c r="L780" s="336" t="s">
        <v>594</v>
      </c>
      <c r="M780" s="339" t="s">
        <v>546</v>
      </c>
      <c r="N780" s="376">
        <v>2</v>
      </c>
    </row>
    <row r="781" spans="1:14" ht="24" customHeight="1">
      <c r="A781" s="327"/>
      <c r="B781" s="415"/>
      <c r="C781" s="418"/>
      <c r="D781" s="327"/>
      <c r="E781" s="422"/>
      <c r="F781" s="19"/>
      <c r="H781" s="19"/>
      <c r="I781" s="19"/>
      <c r="J781" s="129"/>
      <c r="K781" s="354"/>
      <c r="L781" s="337"/>
      <c r="M781" s="340"/>
      <c r="N781" s="358"/>
    </row>
    <row r="782" spans="1:14" ht="12.5">
      <c r="A782" s="327"/>
      <c r="B782" s="415"/>
      <c r="C782" s="418"/>
      <c r="D782" s="327"/>
      <c r="E782" s="422"/>
      <c r="F782" s="19"/>
      <c r="H782" s="19"/>
      <c r="I782" s="19"/>
      <c r="J782" s="129"/>
      <c r="K782" s="354"/>
      <c r="L782" s="337"/>
      <c r="M782" s="348" t="s">
        <v>547</v>
      </c>
      <c r="N782" s="358"/>
    </row>
    <row r="783" spans="1:14" ht="29.25" customHeight="1" thickBot="1">
      <c r="A783" s="327"/>
      <c r="B783" s="415"/>
      <c r="C783" s="418"/>
      <c r="D783" s="327"/>
      <c r="E783" s="422"/>
      <c r="F783" s="19"/>
      <c r="H783" s="19"/>
      <c r="I783" s="19"/>
      <c r="J783" s="129"/>
      <c r="K783" s="354"/>
      <c r="L783" s="337"/>
      <c r="M783" s="344"/>
      <c r="N783" s="359"/>
    </row>
    <row r="784" spans="1:14" ht="13.5" customHeight="1" thickTop="1">
      <c r="A784" s="327"/>
      <c r="B784" s="415"/>
      <c r="C784" s="418"/>
      <c r="D784" s="327"/>
      <c r="E784" s="422"/>
      <c r="F784" s="19"/>
      <c r="H784" s="19"/>
      <c r="I784" s="19"/>
      <c r="J784" s="129"/>
      <c r="K784" s="354"/>
      <c r="L784" s="345" t="s">
        <v>593</v>
      </c>
      <c r="M784" s="295" t="s">
        <v>548</v>
      </c>
      <c r="N784" s="357">
        <v>2</v>
      </c>
    </row>
    <row r="785" spans="1:14" ht="13" thickBot="1">
      <c r="A785" s="327"/>
      <c r="B785" s="415"/>
      <c r="C785" s="418"/>
      <c r="D785" s="327"/>
      <c r="E785" s="422"/>
      <c r="F785" s="19"/>
      <c r="H785" s="19"/>
      <c r="I785" s="19"/>
      <c r="J785" s="129"/>
      <c r="K785" s="354"/>
      <c r="L785" s="337"/>
      <c r="M785" s="296"/>
      <c r="N785" s="358"/>
    </row>
    <row r="786" spans="1:14" ht="16" thickTop="1">
      <c r="A786" s="327"/>
      <c r="B786" s="415"/>
      <c r="C786" s="418"/>
      <c r="D786" s="327"/>
      <c r="E786" s="428" t="s">
        <v>42</v>
      </c>
      <c r="F786" s="40"/>
      <c r="G786" s="25"/>
      <c r="H786" s="116" t="str">
        <f>HYPERLINK("http://gocook.dk/gocookbook/timianstegte-guleroedder","Timianstegte gulerødder")</f>
        <v>Timianstegte gulerødder</v>
      </c>
      <c r="I786" s="500" t="s">
        <v>43</v>
      </c>
      <c r="J786" s="137"/>
      <c r="K786" s="354"/>
      <c r="L786" s="337"/>
      <c r="M786" s="296"/>
      <c r="N786" s="358"/>
    </row>
    <row r="787" spans="1:14" ht="15.5" customHeight="1">
      <c r="A787" s="327"/>
      <c r="B787" s="415"/>
      <c r="C787" s="418"/>
      <c r="D787" s="327"/>
      <c r="E787" s="422"/>
      <c r="F787" s="19"/>
      <c r="G787" s="18"/>
      <c r="H787" s="117" t="str">
        <f>HYPERLINK("http://gocook.dk/gocookbook/asparges-med-bacon","Asparges med bacon")</f>
        <v>Asparges med bacon</v>
      </c>
      <c r="I787" s="501"/>
      <c r="J787" s="138"/>
      <c r="K787" s="354"/>
      <c r="L787" s="337"/>
      <c r="M787" s="296"/>
      <c r="N787" s="358"/>
    </row>
    <row r="788" spans="1:14" ht="16" thickBot="1">
      <c r="A788" s="327"/>
      <c r="B788" s="415"/>
      <c r="C788" s="418"/>
      <c r="D788" s="327"/>
      <c r="E788" s="422"/>
      <c r="F788" s="19"/>
      <c r="G788" s="18"/>
      <c r="H788" s="117" t="str">
        <f>HYPERLINK("http://gocook.dk/gocookbook/indisk-naanbroed","Indisk naanbrød")</f>
        <v>Indisk naanbrød</v>
      </c>
      <c r="I788" s="501"/>
      <c r="J788" s="138"/>
      <c r="K788" s="354"/>
      <c r="L788" s="337"/>
      <c r="M788" s="296"/>
      <c r="N788" s="358"/>
    </row>
    <row r="789" spans="1:14" ht="15.5" customHeight="1">
      <c r="A789" s="327"/>
      <c r="B789" s="415"/>
      <c r="C789" s="418"/>
      <c r="D789" s="327"/>
      <c r="E789" s="422"/>
      <c r="F789" s="19"/>
      <c r="G789" s="18"/>
      <c r="H789" s="117" t="str">
        <f>HYPERLINK("http://gocook.dk/gocookbook/chili-con-carne","Chili con carne")</f>
        <v>Chili con carne</v>
      </c>
      <c r="I789" s="501"/>
      <c r="J789" s="138"/>
      <c r="K789" s="354"/>
      <c r="L789" s="337"/>
      <c r="M789" s="295" t="s">
        <v>255</v>
      </c>
      <c r="N789" s="358"/>
    </row>
    <row r="790" spans="1:14" ht="15.5">
      <c r="A790" s="327"/>
      <c r="B790" s="415"/>
      <c r="C790" s="418"/>
      <c r="D790" s="327"/>
      <c r="E790" s="422"/>
      <c r="F790" s="19"/>
      <c r="G790" s="18"/>
      <c r="H790" s="118" t="str">
        <f>HYPERLINK("http://gocook.dk/gocookbook/frikadeller-med-kartoffelsalat","Frikadeller med kartoffelsalat")</f>
        <v>Frikadeller med kartoffelsalat</v>
      </c>
      <c r="I790" s="502"/>
      <c r="J790" s="138"/>
      <c r="K790" s="354"/>
      <c r="L790" s="337"/>
      <c r="M790" s="296"/>
      <c r="N790" s="358"/>
    </row>
    <row r="791" spans="1:14" ht="15.5">
      <c r="A791" s="327"/>
      <c r="B791" s="415"/>
      <c r="C791" s="418"/>
      <c r="D791" s="327"/>
      <c r="E791" s="33"/>
      <c r="F791" s="19"/>
      <c r="G791" s="18"/>
      <c r="H791" s="117" t="str">
        <f>HYPERLINK("http://gocook.dk/gocookbook/quesadillas","Quesadillas")</f>
        <v>Quesadillas</v>
      </c>
      <c r="I791" s="155"/>
      <c r="J791" s="138"/>
      <c r="K791" s="354"/>
      <c r="L791" s="337"/>
      <c r="M791" s="296"/>
      <c r="N791" s="358"/>
    </row>
    <row r="792" spans="1:14" ht="15.5">
      <c r="A792" s="327"/>
      <c r="B792" s="415"/>
      <c r="C792" s="418"/>
      <c r="D792" s="327"/>
      <c r="E792" s="33"/>
      <c r="F792" s="19"/>
      <c r="G792" s="18"/>
      <c r="H792" s="117" t="str">
        <f>HYPERLINK("http://gocook.dk/gocookbook/chili-cheese-tops","Chili-cheese tops")</f>
        <v>Chili-cheese tops</v>
      </c>
      <c r="I792" s="155"/>
      <c r="J792" s="138"/>
      <c r="K792" s="354"/>
      <c r="L792" s="337"/>
      <c r="M792" s="296"/>
      <c r="N792" s="358"/>
    </row>
    <row r="793" spans="1:14" ht="15.5">
      <c r="A793" s="327"/>
      <c r="B793" s="415"/>
      <c r="C793" s="418"/>
      <c r="D793" s="327"/>
      <c r="E793" s="33"/>
      <c r="F793" s="19"/>
      <c r="G793" s="18"/>
      <c r="H793" s="118" t="str">
        <f>HYPERLINK("http://gocook.dk/gocookbook/danske-foraarsruller","Danske forårsruller")</f>
        <v>Danske forårsruller</v>
      </c>
      <c r="I793" s="155"/>
      <c r="J793" s="138"/>
      <c r="K793" s="354"/>
      <c r="L793" s="337"/>
      <c r="M793" s="296"/>
      <c r="N793" s="358"/>
    </row>
    <row r="794" spans="1:14" ht="16" thickBot="1">
      <c r="A794" s="327"/>
      <c r="B794" s="415"/>
      <c r="C794" s="419"/>
      <c r="D794" s="327"/>
      <c r="E794" s="33"/>
      <c r="F794" s="19"/>
      <c r="G794" s="18"/>
      <c r="H794" s="117" t="str">
        <f>HYPERLINK("http://gocook.dk/gocookbook/vafler-med-pulled-kylling","Vafler med pulled kylling")</f>
        <v>Vafler med pulled kylling</v>
      </c>
      <c r="I794" s="156"/>
      <c r="J794" s="138"/>
      <c r="K794" s="378"/>
      <c r="L794" s="338"/>
      <c r="M794" s="297"/>
      <c r="N794" s="484"/>
    </row>
    <row r="795" spans="1:14" ht="16.5" thickTop="1" thickBot="1">
      <c r="A795" s="327"/>
      <c r="B795" s="416" t="s">
        <v>12</v>
      </c>
      <c r="C795" s="417" t="s">
        <v>560</v>
      </c>
      <c r="D795" s="327"/>
      <c r="E795" s="122"/>
      <c r="F795" s="31" t="s">
        <v>610</v>
      </c>
      <c r="G795" s="32"/>
      <c r="H795" s="42"/>
      <c r="I795" s="146"/>
      <c r="J795" s="132"/>
      <c r="K795" s="133"/>
      <c r="L795" s="133"/>
      <c r="M795" s="164"/>
      <c r="N795" s="175"/>
    </row>
    <row r="796" spans="1:14" ht="17.25" customHeight="1" thickTop="1" thickBot="1">
      <c r="A796" s="327"/>
      <c r="B796" s="415"/>
      <c r="C796" s="418"/>
      <c r="D796" s="327"/>
      <c r="E796" s="434" t="s">
        <v>78</v>
      </c>
      <c r="F796" s="94" t="s">
        <v>563</v>
      </c>
      <c r="G796" s="61" t="str">
        <f>HYPERLINK("http://gocook.dk/kokkeskolen/vride-karklud-og-goere-bordet-rent","Vride karklud og gøre bordet rent")</f>
        <v>Vride karklud og gøre bordet rent</v>
      </c>
      <c r="H796" s="205"/>
      <c r="I796" s="363" t="s">
        <v>550</v>
      </c>
      <c r="J796" s="384" t="s">
        <v>549</v>
      </c>
      <c r="K796" s="353" t="s">
        <v>575</v>
      </c>
      <c r="L796" s="336" t="s">
        <v>594</v>
      </c>
      <c r="M796" s="339" t="s">
        <v>181</v>
      </c>
      <c r="N796" s="357">
        <v>1</v>
      </c>
    </row>
    <row r="797" spans="1:14" ht="16" thickTop="1">
      <c r="A797" s="327"/>
      <c r="B797" s="415"/>
      <c r="C797" s="418"/>
      <c r="D797" s="327"/>
      <c r="E797" s="433"/>
      <c r="F797" s="22" t="s">
        <v>20</v>
      </c>
      <c r="G797" s="61" t="str">
        <f>HYPERLINK("http://gocook.dk/kokkeskolen/vaske-haender","Vaske hænder")</f>
        <v>Vaske hænder</v>
      </c>
      <c r="H797" s="206"/>
      <c r="I797" s="364"/>
      <c r="J797" s="385"/>
      <c r="K797" s="354"/>
      <c r="L797" s="337"/>
      <c r="M797" s="340"/>
      <c r="N797" s="358"/>
    </row>
    <row r="798" spans="1:14" ht="15.5">
      <c r="A798" s="327"/>
      <c r="B798" s="415"/>
      <c r="C798" s="418"/>
      <c r="D798" s="327"/>
      <c r="E798" s="433"/>
      <c r="F798" s="22" t="s">
        <v>21</v>
      </c>
      <c r="G798" s="61" t="str">
        <f>HYPERLINK("http://gocook.dk/kokkeskolen/vaske-op","Vaske op")</f>
        <v>Vaske op</v>
      </c>
      <c r="H798" s="206"/>
      <c r="I798" s="364"/>
      <c r="J798" s="385"/>
      <c r="K798" s="354"/>
      <c r="L798" s="337"/>
      <c r="M798" s="340"/>
      <c r="N798" s="358"/>
    </row>
    <row r="799" spans="1:14" ht="15.5">
      <c r="A799" s="327"/>
      <c r="B799" s="415"/>
      <c r="C799" s="418"/>
      <c r="D799" s="327"/>
      <c r="E799" s="433"/>
      <c r="F799" s="35" t="s">
        <v>35</v>
      </c>
      <c r="G799" s="61" t="str">
        <f>HYPERLINK("http://gocook.dk/kokkeskolen/skridsikkert-skaerebraet","Skridsikkert skærebræt")</f>
        <v>Skridsikkert skærebræt</v>
      </c>
      <c r="H799" s="206"/>
      <c r="I799" s="364"/>
      <c r="J799" s="410" t="s">
        <v>551</v>
      </c>
      <c r="K799" s="354"/>
      <c r="L799" s="337"/>
      <c r="M799" s="348" t="s">
        <v>184</v>
      </c>
      <c r="N799" s="358"/>
    </row>
    <row r="800" spans="1:14" ht="16" thickBot="1">
      <c r="A800" s="327"/>
      <c r="B800" s="415"/>
      <c r="C800" s="418"/>
      <c r="D800" s="327"/>
      <c r="E800" s="433"/>
      <c r="F800" s="22" t="s">
        <v>37</v>
      </c>
      <c r="G800" s="61" t="str">
        <f>HYPERLINK("http://gocook.dk/kokkeskolen/bordskraldespand","Bordskraldespand")</f>
        <v>Bordskraldespand</v>
      </c>
      <c r="H800" s="206"/>
      <c r="I800" s="364"/>
      <c r="J800" s="385"/>
      <c r="K800" s="354"/>
      <c r="L800" s="337"/>
      <c r="M800" s="340"/>
      <c r="N800" s="358"/>
    </row>
    <row r="801" spans="1:14" ht="16.5" thickTop="1" thickBot="1">
      <c r="A801" s="327"/>
      <c r="B801" s="415"/>
      <c r="C801" s="418"/>
      <c r="D801" s="327"/>
      <c r="E801" s="433"/>
      <c r="F801" s="17" t="s">
        <v>532</v>
      </c>
      <c r="G801" s="19"/>
      <c r="H801" s="206"/>
      <c r="I801" s="364"/>
      <c r="J801" s="386"/>
      <c r="K801" s="354"/>
      <c r="L801" s="337"/>
      <c r="M801" s="340"/>
      <c r="N801" s="358"/>
    </row>
    <row r="802" spans="1:14" ht="33" customHeight="1" thickTop="1">
      <c r="A802" s="327"/>
      <c r="B802" s="415"/>
      <c r="C802" s="418"/>
      <c r="D802" s="327"/>
      <c r="E802" s="433"/>
      <c r="F802" s="22" t="s">
        <v>608</v>
      </c>
      <c r="G802" s="19"/>
      <c r="H802" s="206"/>
      <c r="I802" s="364"/>
      <c r="J802" s="131"/>
      <c r="K802" s="354"/>
      <c r="L802" s="337"/>
      <c r="M802" s="340"/>
      <c r="N802" s="358"/>
    </row>
    <row r="803" spans="1:14" ht="16" thickBot="1">
      <c r="A803" s="327"/>
      <c r="B803" s="415"/>
      <c r="C803" s="418"/>
      <c r="D803" s="327"/>
      <c r="E803" s="433"/>
      <c r="F803" s="22" t="s">
        <v>609</v>
      </c>
      <c r="G803" s="19"/>
      <c r="I803" s="410" t="s">
        <v>552</v>
      </c>
      <c r="J803" s="136"/>
      <c r="K803" s="354"/>
      <c r="L803" s="337"/>
      <c r="M803" s="344"/>
      <c r="N803" s="359"/>
    </row>
    <row r="804" spans="1:14" ht="13" thickTop="1">
      <c r="A804" s="327"/>
      <c r="B804" s="415"/>
      <c r="C804" s="418"/>
      <c r="D804" s="327"/>
      <c r="E804" s="433"/>
      <c r="G804" s="19"/>
      <c r="I804" s="385"/>
      <c r="J804" s="131"/>
      <c r="K804" s="354"/>
      <c r="L804" s="345" t="s">
        <v>595</v>
      </c>
      <c r="M804" s="339" t="s">
        <v>553</v>
      </c>
      <c r="N804" s="357">
        <v>2</v>
      </c>
    </row>
    <row r="805" spans="1:14" ht="12.5">
      <c r="A805" s="327"/>
      <c r="B805" s="415"/>
      <c r="C805" s="418"/>
      <c r="D805" s="327"/>
      <c r="E805" s="433"/>
      <c r="G805" s="19"/>
      <c r="I805" s="385"/>
      <c r="J805" s="131"/>
      <c r="K805" s="354"/>
      <c r="L805" s="337"/>
      <c r="M805" s="340"/>
      <c r="N805" s="358"/>
    </row>
    <row r="806" spans="1:14" ht="12.5">
      <c r="A806" s="327"/>
      <c r="B806" s="415"/>
      <c r="C806" s="418"/>
      <c r="D806" s="327"/>
      <c r="E806" s="433"/>
      <c r="G806" s="19"/>
      <c r="I806" s="385"/>
      <c r="J806" s="131"/>
      <c r="K806" s="354"/>
      <c r="L806" s="337"/>
      <c r="M806" s="340"/>
      <c r="N806" s="358"/>
    </row>
    <row r="807" spans="1:14" ht="12.5">
      <c r="A807" s="327"/>
      <c r="B807" s="415"/>
      <c r="C807" s="418"/>
      <c r="D807" s="327"/>
      <c r="E807" s="433"/>
      <c r="G807" s="19"/>
      <c r="I807" s="385"/>
      <c r="J807" s="131"/>
      <c r="K807" s="354"/>
      <c r="L807" s="337"/>
      <c r="M807" s="348" t="s">
        <v>554</v>
      </c>
      <c r="N807" s="358"/>
    </row>
    <row r="808" spans="1:14" ht="12.5">
      <c r="A808" s="327"/>
      <c r="B808" s="415"/>
      <c r="C808" s="418"/>
      <c r="D808" s="327"/>
      <c r="E808" s="433"/>
      <c r="G808" s="19"/>
      <c r="I808" s="385"/>
      <c r="J808" s="131"/>
      <c r="K808" s="354"/>
      <c r="L808" s="337"/>
      <c r="M808" s="340"/>
      <c r="N808" s="358"/>
    </row>
    <row r="809" spans="1:14" ht="24" customHeight="1" thickBot="1">
      <c r="A809" s="327"/>
      <c r="B809" s="415"/>
      <c r="C809" s="418"/>
      <c r="D809" s="327"/>
      <c r="E809" s="433"/>
      <c r="G809" s="19"/>
      <c r="I809" s="386"/>
      <c r="J809" s="131"/>
      <c r="K809" s="354"/>
      <c r="L809" s="338"/>
      <c r="M809" s="344"/>
      <c r="N809" s="359"/>
    </row>
    <row r="810" spans="1:14" ht="12.5">
      <c r="A810" s="327"/>
      <c r="B810" s="415"/>
      <c r="C810" s="418"/>
      <c r="D810" s="327"/>
      <c r="E810" s="433"/>
      <c r="G810" s="19"/>
      <c r="I810" s="154"/>
      <c r="J810" s="131"/>
      <c r="K810" s="355"/>
      <c r="L810" s="312"/>
      <c r="M810" s="341"/>
      <c r="N810" s="360"/>
    </row>
    <row r="811" spans="1:14" ht="13" thickBot="1">
      <c r="A811" s="327"/>
      <c r="B811" s="415"/>
      <c r="C811" s="418"/>
      <c r="D811" s="327"/>
      <c r="E811" s="433"/>
      <c r="G811" s="19"/>
      <c r="I811" s="157"/>
      <c r="J811" s="136"/>
      <c r="K811" s="355"/>
      <c r="L811" s="312"/>
      <c r="M811" s="342"/>
      <c r="N811" s="358"/>
    </row>
    <row r="812" spans="1:14" ht="16" thickTop="1">
      <c r="A812" s="327"/>
      <c r="B812" s="415"/>
      <c r="C812" s="418"/>
      <c r="D812" s="327"/>
      <c r="E812" s="432" t="s">
        <v>555</v>
      </c>
      <c r="F812" s="26"/>
      <c r="G812" s="40"/>
      <c r="H812" s="72" t="str">
        <f>HYPERLINK("http://gocook.dk/gocookbook/sorbet-med-citron","Sorbet med citron")</f>
        <v>Sorbet med citron</v>
      </c>
      <c r="I812" s="458" t="s">
        <v>556</v>
      </c>
      <c r="J812" s="130"/>
      <c r="K812" s="355"/>
      <c r="L812" s="312"/>
      <c r="M812" s="342"/>
      <c r="N812" s="358"/>
    </row>
    <row r="813" spans="1:14" ht="15.5">
      <c r="A813" s="327"/>
      <c r="B813" s="415"/>
      <c r="C813" s="418"/>
      <c r="D813" s="327"/>
      <c r="E813" s="433"/>
      <c r="G813" s="19"/>
      <c r="H813" s="198" t="str">
        <f>HYPERLINK("http://gocook.dk/gocookbook/baer-med-yoghurt","Bæris med yoghurt")</f>
        <v>Bæris med yoghurt</v>
      </c>
      <c r="I813" s="391"/>
      <c r="J813" s="131"/>
      <c r="K813" s="355"/>
      <c r="L813" s="312"/>
      <c r="M813" s="342"/>
      <c r="N813" s="358"/>
    </row>
    <row r="814" spans="1:14" ht="15.5">
      <c r="A814" s="327"/>
      <c r="B814" s="415"/>
      <c r="C814" s="418"/>
      <c r="D814" s="327"/>
      <c r="E814" s="433"/>
      <c r="G814" s="19"/>
      <c r="H814" s="203" t="str">
        <f>HYPERLINK("http://gocook.dk/gocookbook/jordbaersorbet","Jordbærsorbet")</f>
        <v>Jordbærsorbet</v>
      </c>
      <c r="I814" s="391"/>
      <c r="J814" s="131"/>
      <c r="K814" s="355"/>
      <c r="L814" s="312"/>
      <c r="M814" s="342"/>
      <c r="N814" s="358"/>
    </row>
    <row r="815" spans="1:14" ht="15.5">
      <c r="A815" s="327"/>
      <c r="B815" s="415"/>
      <c r="C815" s="418"/>
      <c r="D815" s="327"/>
      <c r="E815" s="433"/>
      <c r="G815" s="19"/>
      <c r="H815" s="198" t="str">
        <f>HYPERLINK("http://gocook.dk/gocookbook/yoghurt-med-solbaer","Yoghurtis med solbær")</f>
        <v>Yoghurtis med solbær</v>
      </c>
      <c r="I815" s="391"/>
      <c r="J815" s="131"/>
      <c r="K815" s="355"/>
      <c r="L815" s="312"/>
      <c r="M815" s="342"/>
      <c r="N815" s="358"/>
    </row>
    <row r="816" spans="1:14" ht="15.5">
      <c r="A816" s="327"/>
      <c r="B816" s="415"/>
      <c r="C816" s="418"/>
      <c r="D816" s="327"/>
      <c r="E816" s="433"/>
      <c r="G816" s="19"/>
      <c r="H816" s="203" t="str">
        <f>HYPERLINK("http://gocook.dk/gocookbook/vandmelonis","Vandmelonis")</f>
        <v>Vandmelonis</v>
      </c>
      <c r="I816" s="391"/>
      <c r="J816" s="131"/>
      <c r="K816" s="355"/>
      <c r="L816" s="312"/>
      <c r="M816" s="342"/>
      <c r="N816" s="358"/>
    </row>
    <row r="817" spans="1:14" ht="15.5">
      <c r="A817" s="327"/>
      <c r="B817" s="415"/>
      <c r="C817" s="418"/>
      <c r="D817" s="327"/>
      <c r="E817" s="433"/>
      <c r="G817" s="19"/>
      <c r="H817" s="198" t="str">
        <f>HYPERLINK("http://gocook.dk/gocookbook/snobroed-med-skinke-og-ost","Snobrød med skinke og ost")</f>
        <v>Snobrød med skinke og ost</v>
      </c>
      <c r="I817" s="391"/>
      <c r="J817" s="131"/>
      <c r="K817" s="355"/>
      <c r="L817" s="312"/>
      <c r="M817" s="342"/>
      <c r="N817" s="358"/>
    </row>
    <row r="818" spans="1:14" ht="15.5">
      <c r="A818" s="327"/>
      <c r="B818" s="415"/>
      <c r="C818" s="418"/>
      <c r="D818" s="327"/>
      <c r="E818" s="433"/>
      <c r="G818" s="20"/>
      <c r="H818" s="61" t="str">
        <f>HYPERLINK("http://gocook.dk/gocookbook/bagte-baal-aebler","Bagte bål-æbler")</f>
        <v>Bagte bål-æbler</v>
      </c>
      <c r="I818" s="391"/>
      <c r="J818" s="138"/>
      <c r="K818" s="355"/>
      <c r="L818" s="312"/>
      <c r="M818" s="342"/>
      <c r="N818" s="358"/>
    </row>
    <row r="819" spans="1:14" ht="40.5" customHeight="1" thickBot="1">
      <c r="A819" s="424"/>
      <c r="B819" s="423"/>
      <c r="C819" s="420"/>
      <c r="D819" s="424"/>
      <c r="E819" s="435"/>
      <c r="F819" s="78"/>
      <c r="G819" s="77"/>
      <c r="H819" s="119"/>
      <c r="I819" s="499"/>
      <c r="J819" s="158"/>
      <c r="K819" s="459"/>
      <c r="L819" s="349"/>
      <c r="M819" s="473"/>
      <c r="N819" s="484"/>
    </row>
    <row r="820" spans="1:14" ht="16" thickTop="1">
      <c r="I820" s="59"/>
      <c r="J820" s="1"/>
      <c r="M820" s="169"/>
    </row>
    <row r="821" spans="1:14" ht="15.5">
      <c r="I821" s="59"/>
      <c r="J821" s="1"/>
      <c r="M821" s="169"/>
    </row>
    <row r="822" spans="1:14" ht="15.5">
      <c r="I822" s="59"/>
      <c r="J822" s="1"/>
      <c r="M822" s="169"/>
    </row>
    <row r="823" spans="1:14" ht="12.5">
      <c r="I823" s="1"/>
      <c r="J823" s="1"/>
      <c r="M823" s="169"/>
    </row>
    <row r="824" spans="1:14" ht="12.5">
      <c r="I824" s="1"/>
      <c r="J824" s="1"/>
      <c r="M824" s="169"/>
    </row>
    <row r="825" spans="1:14" ht="12.5">
      <c r="I825" s="1"/>
      <c r="J825" s="1"/>
      <c r="M825" s="169"/>
    </row>
    <row r="826" spans="1:14" ht="12.5">
      <c r="I826" s="1"/>
      <c r="J826" s="1"/>
      <c r="M826" s="169"/>
    </row>
    <row r="827" spans="1:14" ht="12.5">
      <c r="I827" s="1"/>
      <c r="J827" s="1"/>
      <c r="M827" s="169"/>
    </row>
    <row r="828" spans="1:14" ht="12.5">
      <c r="I828" s="1"/>
      <c r="J828" s="1"/>
      <c r="M828" s="169"/>
    </row>
    <row r="829" spans="1:14" ht="12.5">
      <c r="I829" s="1"/>
      <c r="J829" s="1"/>
      <c r="M829" s="169"/>
    </row>
    <row r="830" spans="1:14" ht="12.5">
      <c r="I830" s="1"/>
      <c r="J830" s="1"/>
      <c r="M830" s="169"/>
    </row>
    <row r="831" spans="1:14" ht="12.5">
      <c r="I831" s="1"/>
      <c r="J831" s="1"/>
      <c r="M831" s="169"/>
    </row>
    <row r="832" spans="1:14" ht="12.5">
      <c r="I832" s="1"/>
      <c r="J832" s="1"/>
      <c r="M832" s="169"/>
    </row>
    <row r="833" spans="9:13" ht="12.5">
      <c r="I833" s="1"/>
      <c r="J833" s="1"/>
      <c r="M833" s="169"/>
    </row>
    <row r="834" spans="9:13" ht="12.5">
      <c r="I834" s="1"/>
      <c r="J834" s="1"/>
      <c r="M834" s="169"/>
    </row>
    <row r="835" spans="9:13" ht="12.5">
      <c r="I835" s="1"/>
      <c r="J835" s="1"/>
      <c r="M835" s="169"/>
    </row>
    <row r="836" spans="9:13" ht="12.5">
      <c r="I836" s="1"/>
      <c r="J836" s="1"/>
      <c r="M836" s="169"/>
    </row>
    <row r="837" spans="9:13" ht="12.5">
      <c r="I837" s="1"/>
      <c r="J837" s="1"/>
      <c r="M837" s="169"/>
    </row>
    <row r="838" spans="9:13" ht="12.5">
      <c r="I838" s="1"/>
      <c r="J838" s="1"/>
      <c r="M838" s="169"/>
    </row>
    <row r="839" spans="9:13" ht="12.5">
      <c r="I839" s="1"/>
      <c r="J839" s="1"/>
      <c r="M839" s="169"/>
    </row>
    <row r="840" spans="9:13" ht="12.5">
      <c r="I840" s="1"/>
      <c r="J840" s="1"/>
      <c r="M840" s="169"/>
    </row>
    <row r="841" spans="9:13" ht="12.5">
      <c r="I841" s="1"/>
      <c r="J841" s="1"/>
      <c r="M841" s="169"/>
    </row>
    <row r="842" spans="9:13" ht="12.5">
      <c r="I842" s="1"/>
      <c r="J842" s="1"/>
      <c r="M842" s="169"/>
    </row>
    <row r="843" spans="9:13" ht="12.5">
      <c r="I843" s="1"/>
      <c r="J843" s="1"/>
      <c r="M843" s="169"/>
    </row>
    <row r="844" spans="9:13" ht="12.5">
      <c r="I844" s="1"/>
      <c r="J844" s="1"/>
      <c r="M844" s="169"/>
    </row>
    <row r="845" spans="9:13" ht="12.5">
      <c r="I845" s="1"/>
      <c r="J845" s="1"/>
      <c r="M845" s="169"/>
    </row>
    <row r="846" spans="9:13" ht="12.5">
      <c r="I846" s="1"/>
      <c r="J846" s="1"/>
      <c r="M846" s="169"/>
    </row>
    <row r="847" spans="9:13" ht="12.5">
      <c r="I847" s="1"/>
      <c r="J847" s="1"/>
      <c r="M847" s="169"/>
    </row>
    <row r="848" spans="9:13" ht="12.5">
      <c r="I848" s="1"/>
      <c r="J848" s="1"/>
      <c r="M848" s="169"/>
    </row>
    <row r="849" spans="9:13" ht="12.5">
      <c r="I849" s="1"/>
      <c r="J849" s="1"/>
      <c r="M849" s="169"/>
    </row>
    <row r="850" spans="9:13" ht="12.5">
      <c r="I850" s="1"/>
      <c r="J850" s="1"/>
      <c r="M850" s="169"/>
    </row>
    <row r="851" spans="9:13" ht="12.5">
      <c r="I851" s="1"/>
      <c r="J851" s="1"/>
      <c r="M851" s="169"/>
    </row>
    <row r="852" spans="9:13" ht="12.5">
      <c r="I852" s="1"/>
      <c r="J852" s="1"/>
      <c r="M852" s="169"/>
    </row>
    <row r="853" spans="9:13" ht="12.5">
      <c r="I853" s="1"/>
      <c r="J853" s="1"/>
      <c r="M853" s="169"/>
    </row>
    <row r="854" spans="9:13" ht="12.5">
      <c r="I854" s="1"/>
      <c r="J854" s="1"/>
      <c r="M854" s="169"/>
    </row>
    <row r="855" spans="9:13" ht="12.5">
      <c r="I855" s="1"/>
      <c r="J855" s="1"/>
      <c r="M855" s="169"/>
    </row>
    <row r="856" spans="9:13" ht="12.5">
      <c r="I856" s="1"/>
      <c r="J856" s="1"/>
      <c r="M856" s="169"/>
    </row>
    <row r="857" spans="9:13" ht="12.5">
      <c r="I857" s="1"/>
      <c r="J857" s="1"/>
      <c r="M857" s="169"/>
    </row>
    <row r="858" spans="9:13" ht="12.5">
      <c r="I858" s="1"/>
      <c r="J858" s="1"/>
      <c r="M858" s="169"/>
    </row>
    <row r="859" spans="9:13" ht="12.5">
      <c r="I859" s="1"/>
      <c r="J859" s="1"/>
      <c r="M859" s="169"/>
    </row>
    <row r="860" spans="9:13" ht="12.5">
      <c r="I860" s="1"/>
      <c r="J860" s="1"/>
      <c r="M860" s="169"/>
    </row>
    <row r="861" spans="9:13" ht="12.5">
      <c r="I861" s="1"/>
      <c r="J861" s="1"/>
      <c r="M861" s="169"/>
    </row>
    <row r="862" spans="9:13" ht="12.5">
      <c r="I862" s="1"/>
      <c r="J862" s="1"/>
      <c r="M862" s="169"/>
    </row>
    <row r="863" spans="9:13" ht="12.5">
      <c r="I863" s="1"/>
      <c r="J863" s="1"/>
      <c r="M863" s="169"/>
    </row>
    <row r="864" spans="9:13" ht="12.5">
      <c r="I864" s="1"/>
      <c r="J864" s="1"/>
      <c r="M864" s="169"/>
    </row>
    <row r="865" spans="9:13" ht="12.5">
      <c r="I865" s="1"/>
      <c r="J865" s="1"/>
      <c r="M865" s="169"/>
    </row>
    <row r="866" spans="9:13" ht="12.5">
      <c r="I866" s="1"/>
      <c r="J866" s="1"/>
      <c r="M866" s="169"/>
    </row>
    <row r="867" spans="9:13" ht="12.5">
      <c r="I867" s="1"/>
      <c r="J867" s="1"/>
      <c r="M867" s="169"/>
    </row>
    <row r="868" spans="9:13" ht="12.5">
      <c r="I868" s="1"/>
      <c r="J868" s="1"/>
      <c r="M868" s="169"/>
    </row>
    <row r="869" spans="9:13" ht="12.5">
      <c r="I869" s="1"/>
      <c r="J869" s="1"/>
      <c r="M869" s="169"/>
    </row>
    <row r="870" spans="9:13" ht="12.5">
      <c r="I870" s="1"/>
      <c r="J870" s="1"/>
      <c r="M870" s="169"/>
    </row>
    <row r="871" spans="9:13" ht="12.5">
      <c r="I871" s="1"/>
      <c r="J871" s="1"/>
      <c r="M871" s="169"/>
    </row>
    <row r="872" spans="9:13" ht="12.5">
      <c r="I872" s="1"/>
      <c r="J872" s="1"/>
      <c r="M872" s="169"/>
    </row>
    <row r="873" spans="9:13" ht="12.5">
      <c r="I873" s="1"/>
      <c r="J873" s="1"/>
      <c r="M873" s="169"/>
    </row>
    <row r="874" spans="9:13" ht="12.5">
      <c r="I874" s="1"/>
      <c r="J874" s="1"/>
      <c r="M874" s="169"/>
    </row>
    <row r="875" spans="9:13" ht="12.5">
      <c r="I875" s="1"/>
      <c r="J875" s="1"/>
      <c r="M875" s="169"/>
    </row>
    <row r="876" spans="9:13" ht="12.5">
      <c r="I876" s="1"/>
      <c r="J876" s="1"/>
      <c r="M876" s="169"/>
    </row>
    <row r="877" spans="9:13" ht="12.5">
      <c r="I877" s="1"/>
      <c r="J877" s="1"/>
      <c r="M877" s="169"/>
    </row>
    <row r="878" spans="9:13" ht="12.5">
      <c r="I878" s="1"/>
      <c r="J878" s="1"/>
      <c r="M878" s="169"/>
    </row>
    <row r="879" spans="9:13" ht="12.5">
      <c r="I879" s="1"/>
      <c r="J879" s="1"/>
      <c r="M879" s="169"/>
    </row>
    <row r="880" spans="9:13" ht="12.5">
      <c r="I880" s="1"/>
      <c r="J880" s="1"/>
      <c r="M880" s="169"/>
    </row>
    <row r="881" spans="9:13" ht="12.5">
      <c r="I881" s="1"/>
      <c r="J881" s="1"/>
      <c r="M881" s="169"/>
    </row>
    <row r="882" spans="9:13" ht="12.5">
      <c r="I882" s="1"/>
      <c r="J882" s="1"/>
      <c r="M882" s="169"/>
    </row>
    <row r="883" spans="9:13" ht="12.5">
      <c r="I883" s="1"/>
      <c r="J883" s="1"/>
      <c r="M883" s="169"/>
    </row>
    <row r="884" spans="9:13" ht="12.5">
      <c r="I884" s="1"/>
      <c r="J884" s="1"/>
      <c r="M884" s="169"/>
    </row>
    <row r="885" spans="9:13" ht="12.5">
      <c r="I885" s="1"/>
      <c r="J885" s="1"/>
      <c r="M885" s="169"/>
    </row>
    <row r="886" spans="9:13" ht="12.5">
      <c r="I886" s="1"/>
      <c r="J886" s="1"/>
      <c r="M886" s="169"/>
    </row>
    <row r="887" spans="9:13" ht="12.5">
      <c r="I887" s="1"/>
      <c r="J887" s="1"/>
      <c r="M887" s="169"/>
    </row>
    <row r="888" spans="9:13" ht="12.5">
      <c r="I888" s="1"/>
      <c r="J888" s="1"/>
      <c r="M888" s="169"/>
    </row>
    <row r="889" spans="9:13" ht="12.5">
      <c r="I889" s="1"/>
      <c r="J889" s="1"/>
      <c r="M889" s="169"/>
    </row>
    <row r="890" spans="9:13" ht="12.5">
      <c r="I890" s="1"/>
      <c r="J890" s="1"/>
      <c r="M890" s="169"/>
    </row>
    <row r="891" spans="9:13" ht="12.5">
      <c r="I891" s="1"/>
      <c r="J891" s="1"/>
      <c r="M891" s="169"/>
    </row>
    <row r="892" spans="9:13" ht="12.5">
      <c r="I892" s="1"/>
      <c r="J892" s="1"/>
      <c r="M892" s="169"/>
    </row>
    <row r="893" spans="9:13" ht="12.5">
      <c r="I893" s="1"/>
      <c r="J893" s="1"/>
      <c r="M893" s="169"/>
    </row>
    <row r="894" spans="9:13" ht="12.5">
      <c r="I894" s="1"/>
      <c r="J894" s="1"/>
      <c r="M894" s="169"/>
    </row>
    <row r="895" spans="9:13" ht="12.5">
      <c r="I895" s="1"/>
      <c r="J895" s="1"/>
      <c r="M895" s="169"/>
    </row>
    <row r="896" spans="9:13" ht="12.5">
      <c r="I896" s="1"/>
      <c r="J896" s="1"/>
      <c r="M896" s="169"/>
    </row>
    <row r="897" spans="9:13" ht="12.5">
      <c r="I897" s="1"/>
      <c r="J897" s="1"/>
      <c r="M897" s="169"/>
    </row>
    <row r="898" spans="9:13" ht="12.5">
      <c r="I898" s="1"/>
      <c r="J898" s="1"/>
      <c r="M898" s="169"/>
    </row>
    <row r="899" spans="9:13" ht="12.5">
      <c r="I899" s="1"/>
      <c r="J899" s="1"/>
      <c r="M899" s="169"/>
    </row>
    <row r="900" spans="9:13" ht="12.5">
      <c r="I900" s="1"/>
      <c r="J900" s="1"/>
      <c r="M900" s="169"/>
    </row>
    <row r="901" spans="9:13" ht="12.5">
      <c r="I901" s="1"/>
      <c r="J901" s="1"/>
      <c r="M901" s="169"/>
    </row>
    <row r="902" spans="9:13" ht="12.5">
      <c r="I902" s="1"/>
      <c r="J902" s="1"/>
      <c r="M902" s="169"/>
    </row>
    <row r="903" spans="9:13" ht="12.5">
      <c r="I903" s="1"/>
      <c r="J903" s="1"/>
      <c r="M903" s="169"/>
    </row>
    <row r="904" spans="9:13" ht="12.5">
      <c r="I904" s="1"/>
      <c r="J904" s="1"/>
      <c r="M904" s="169"/>
    </row>
    <row r="905" spans="9:13" ht="12.5">
      <c r="I905" s="1"/>
      <c r="J905" s="1"/>
      <c r="M905" s="169"/>
    </row>
    <row r="906" spans="9:13" ht="12.5">
      <c r="I906" s="1"/>
      <c r="J906" s="1"/>
      <c r="M906" s="169"/>
    </row>
    <row r="907" spans="9:13" ht="12.5">
      <c r="I907" s="1"/>
      <c r="J907" s="1"/>
      <c r="M907" s="169"/>
    </row>
    <row r="908" spans="9:13" ht="12.5">
      <c r="I908" s="1"/>
      <c r="J908" s="1"/>
      <c r="M908" s="169"/>
    </row>
    <row r="909" spans="9:13" ht="12.5">
      <c r="I909" s="1"/>
      <c r="J909" s="1"/>
      <c r="M909" s="169"/>
    </row>
    <row r="910" spans="9:13" ht="12.5">
      <c r="I910" s="1"/>
      <c r="J910" s="1"/>
      <c r="M910" s="169"/>
    </row>
    <row r="911" spans="9:13" ht="12.5">
      <c r="I911" s="1"/>
      <c r="J911" s="1"/>
      <c r="M911" s="169"/>
    </row>
    <row r="912" spans="9:13" ht="12.5">
      <c r="I912" s="1"/>
      <c r="J912" s="1"/>
      <c r="M912" s="169"/>
    </row>
    <row r="913" spans="9:13" ht="12.5">
      <c r="I913" s="1"/>
      <c r="J913" s="1"/>
      <c r="M913" s="169"/>
    </row>
    <row r="914" spans="9:13" ht="12.5">
      <c r="I914" s="1"/>
      <c r="J914" s="1"/>
      <c r="M914" s="169"/>
    </row>
    <row r="915" spans="9:13" ht="12.5">
      <c r="I915" s="1"/>
      <c r="J915" s="1"/>
      <c r="M915" s="169"/>
    </row>
    <row r="916" spans="9:13" ht="12.5">
      <c r="I916" s="1"/>
      <c r="J916" s="1"/>
      <c r="M916" s="169"/>
    </row>
    <row r="917" spans="9:13" ht="12.5">
      <c r="I917" s="1"/>
      <c r="J917" s="1"/>
      <c r="M917" s="169"/>
    </row>
    <row r="918" spans="9:13" ht="12.5">
      <c r="I918" s="1"/>
      <c r="J918" s="1"/>
      <c r="M918" s="169"/>
    </row>
    <row r="919" spans="9:13" ht="12.5">
      <c r="I919" s="1"/>
      <c r="J919" s="1"/>
      <c r="M919" s="169"/>
    </row>
    <row r="920" spans="9:13" ht="12.5">
      <c r="I920" s="1"/>
      <c r="J920" s="1"/>
      <c r="M920" s="169"/>
    </row>
    <row r="921" spans="9:13" ht="12.5">
      <c r="I921" s="1"/>
      <c r="J921" s="1"/>
      <c r="M921" s="169"/>
    </row>
    <row r="922" spans="9:13" ht="12.5">
      <c r="I922" s="1"/>
      <c r="J922" s="1"/>
      <c r="M922" s="169"/>
    </row>
    <row r="923" spans="9:13" ht="12.5">
      <c r="I923" s="1"/>
      <c r="J923" s="1"/>
      <c r="M923" s="169"/>
    </row>
    <row r="924" spans="9:13" ht="12.5">
      <c r="I924" s="1"/>
      <c r="J924" s="1"/>
      <c r="M924" s="169"/>
    </row>
    <row r="925" spans="9:13" ht="12.5">
      <c r="I925" s="1"/>
      <c r="J925" s="1"/>
      <c r="M925" s="169"/>
    </row>
    <row r="926" spans="9:13" ht="12.5">
      <c r="I926" s="1"/>
      <c r="J926" s="1"/>
      <c r="M926" s="169"/>
    </row>
    <row r="927" spans="9:13" ht="12.5">
      <c r="I927" s="1"/>
      <c r="J927" s="1"/>
      <c r="M927" s="169"/>
    </row>
    <row r="928" spans="9:13" ht="12.5">
      <c r="I928" s="1"/>
      <c r="J928" s="1"/>
      <c r="M928" s="169"/>
    </row>
    <row r="929" spans="9:13" ht="12.5">
      <c r="I929" s="1"/>
      <c r="J929" s="1"/>
      <c r="M929" s="169"/>
    </row>
    <row r="930" spans="9:13" ht="12.5">
      <c r="I930" s="1"/>
      <c r="J930" s="1"/>
      <c r="M930" s="169"/>
    </row>
    <row r="931" spans="9:13" ht="12.5">
      <c r="I931" s="1"/>
      <c r="J931" s="1"/>
      <c r="M931" s="169"/>
    </row>
    <row r="932" spans="9:13" ht="12.5">
      <c r="I932" s="1"/>
      <c r="J932" s="1"/>
      <c r="M932" s="169"/>
    </row>
    <row r="933" spans="9:13" ht="12.5">
      <c r="I933" s="1"/>
      <c r="J933" s="1"/>
      <c r="M933" s="169"/>
    </row>
    <row r="934" spans="9:13" ht="12.5">
      <c r="I934" s="1"/>
      <c r="J934" s="1"/>
      <c r="M934" s="169"/>
    </row>
    <row r="935" spans="9:13" ht="12.5">
      <c r="I935" s="1"/>
      <c r="J935" s="1"/>
      <c r="M935" s="169"/>
    </row>
    <row r="936" spans="9:13" ht="12.5">
      <c r="I936" s="1"/>
      <c r="J936" s="1"/>
      <c r="M936" s="169"/>
    </row>
    <row r="937" spans="9:13" ht="12.5">
      <c r="I937" s="1"/>
      <c r="J937" s="1"/>
      <c r="M937" s="169"/>
    </row>
    <row r="938" spans="9:13" ht="12.5">
      <c r="I938" s="1"/>
      <c r="J938" s="1"/>
      <c r="M938" s="169"/>
    </row>
    <row r="939" spans="9:13" ht="12.5">
      <c r="I939" s="1"/>
      <c r="J939" s="1"/>
      <c r="M939" s="169"/>
    </row>
    <row r="940" spans="9:13" ht="12.5">
      <c r="I940" s="1"/>
      <c r="J940" s="1"/>
      <c r="M940" s="169"/>
    </row>
    <row r="941" spans="9:13" ht="12.5">
      <c r="I941" s="1"/>
      <c r="J941" s="1"/>
      <c r="M941" s="169"/>
    </row>
    <row r="942" spans="9:13" ht="12.5">
      <c r="I942" s="1"/>
      <c r="J942" s="1"/>
      <c r="M942" s="169"/>
    </row>
    <row r="943" spans="9:13" ht="12.5">
      <c r="I943" s="1"/>
      <c r="J943" s="1"/>
      <c r="M943" s="169"/>
    </row>
    <row r="944" spans="9:13" ht="12.5">
      <c r="I944" s="1"/>
      <c r="J944" s="1"/>
      <c r="M944" s="169"/>
    </row>
    <row r="945" spans="9:13" ht="12.5">
      <c r="I945" s="1"/>
      <c r="J945" s="1"/>
      <c r="M945" s="169"/>
    </row>
    <row r="946" spans="9:13" ht="12.5">
      <c r="I946" s="1"/>
      <c r="J946" s="1"/>
      <c r="M946" s="169"/>
    </row>
    <row r="947" spans="9:13" ht="12.5">
      <c r="I947" s="1"/>
      <c r="J947" s="1"/>
      <c r="M947" s="169"/>
    </row>
    <row r="948" spans="9:13" ht="12.5">
      <c r="I948" s="1"/>
      <c r="J948" s="1"/>
      <c r="M948" s="169"/>
    </row>
    <row r="949" spans="9:13" ht="12.5">
      <c r="I949" s="1"/>
      <c r="J949" s="1"/>
      <c r="M949" s="169"/>
    </row>
    <row r="950" spans="9:13" ht="12.5">
      <c r="I950" s="1"/>
      <c r="J950" s="1"/>
      <c r="M950" s="169"/>
    </row>
    <row r="951" spans="9:13" ht="12.5">
      <c r="I951" s="1"/>
      <c r="J951" s="1"/>
      <c r="M951" s="169"/>
    </row>
    <row r="952" spans="9:13" ht="12.5">
      <c r="I952" s="1"/>
      <c r="J952" s="1"/>
      <c r="M952" s="169"/>
    </row>
    <row r="953" spans="9:13" ht="12.5">
      <c r="I953" s="1"/>
      <c r="J953" s="1"/>
      <c r="M953" s="169"/>
    </row>
    <row r="954" spans="9:13" ht="12.5">
      <c r="I954" s="1"/>
      <c r="J954" s="1"/>
      <c r="M954" s="169"/>
    </row>
    <row r="955" spans="9:13" ht="12.5">
      <c r="I955" s="1"/>
      <c r="J955" s="1"/>
      <c r="M955" s="169"/>
    </row>
    <row r="956" spans="9:13" ht="12.5">
      <c r="I956" s="1"/>
      <c r="J956" s="1"/>
      <c r="M956" s="169"/>
    </row>
    <row r="957" spans="9:13" ht="12.5">
      <c r="I957" s="1"/>
      <c r="J957" s="1"/>
      <c r="M957" s="169"/>
    </row>
    <row r="958" spans="9:13" ht="12.5">
      <c r="I958" s="1"/>
      <c r="J958" s="1"/>
      <c r="M958" s="169"/>
    </row>
    <row r="959" spans="9:13" ht="12.5">
      <c r="I959" s="1"/>
      <c r="J959" s="1"/>
      <c r="M959" s="169"/>
    </row>
    <row r="960" spans="9:13" ht="12.5">
      <c r="I960" s="1"/>
      <c r="J960" s="1"/>
      <c r="M960" s="169"/>
    </row>
    <row r="961" spans="9:13" ht="12.5">
      <c r="I961" s="1"/>
      <c r="J961" s="1"/>
      <c r="M961" s="169"/>
    </row>
    <row r="962" spans="9:13" ht="12.5">
      <c r="I962" s="1"/>
      <c r="J962" s="1"/>
      <c r="M962" s="169"/>
    </row>
    <row r="963" spans="9:13" ht="12.5">
      <c r="I963" s="1"/>
      <c r="J963" s="1"/>
      <c r="M963" s="169"/>
    </row>
    <row r="964" spans="9:13" ht="12.5">
      <c r="I964" s="1"/>
      <c r="J964" s="1"/>
      <c r="M964" s="169"/>
    </row>
    <row r="965" spans="9:13" ht="12.5">
      <c r="I965" s="1"/>
      <c r="J965" s="1"/>
      <c r="M965" s="169"/>
    </row>
    <row r="966" spans="9:13" ht="12.5">
      <c r="I966" s="1"/>
      <c r="J966" s="1"/>
      <c r="M966" s="169"/>
    </row>
    <row r="967" spans="9:13" ht="12.5">
      <c r="I967" s="1"/>
      <c r="J967" s="1"/>
      <c r="M967" s="169"/>
    </row>
    <row r="968" spans="9:13" ht="12.5">
      <c r="I968" s="1"/>
      <c r="J968" s="1"/>
      <c r="M968" s="169"/>
    </row>
    <row r="969" spans="9:13" ht="12.5">
      <c r="I969" s="1"/>
      <c r="J969" s="1"/>
      <c r="M969" s="169"/>
    </row>
    <row r="970" spans="9:13" ht="12.5">
      <c r="I970" s="1"/>
      <c r="J970" s="1"/>
      <c r="M970" s="169"/>
    </row>
    <row r="971" spans="9:13" ht="12.5">
      <c r="I971" s="1"/>
      <c r="J971" s="1"/>
      <c r="M971" s="169"/>
    </row>
    <row r="972" spans="9:13" ht="12.5">
      <c r="I972" s="1"/>
      <c r="J972" s="1"/>
      <c r="M972" s="169"/>
    </row>
    <row r="973" spans="9:13" ht="12.5">
      <c r="I973" s="1"/>
      <c r="J973" s="1"/>
      <c r="M973" s="169"/>
    </row>
    <row r="974" spans="9:13" ht="12.5">
      <c r="I974" s="1"/>
      <c r="J974" s="1"/>
      <c r="M974" s="169"/>
    </row>
    <row r="975" spans="9:13" ht="12.5">
      <c r="I975" s="1"/>
      <c r="J975" s="1"/>
      <c r="M975" s="169"/>
    </row>
    <row r="976" spans="9:13" ht="12.5">
      <c r="I976" s="1"/>
      <c r="J976" s="1"/>
      <c r="M976" s="169"/>
    </row>
    <row r="977" spans="9:13" ht="12.5">
      <c r="I977" s="1"/>
      <c r="J977" s="1"/>
      <c r="M977" s="169"/>
    </row>
    <row r="978" spans="9:13" ht="12.5">
      <c r="I978" s="1"/>
      <c r="J978" s="1"/>
      <c r="M978" s="169"/>
    </row>
    <row r="979" spans="9:13" ht="12.5">
      <c r="I979" s="1"/>
      <c r="J979" s="1"/>
      <c r="M979" s="169"/>
    </row>
    <row r="980" spans="9:13" ht="12.5">
      <c r="I980" s="1"/>
      <c r="J980" s="1"/>
      <c r="M980" s="169"/>
    </row>
    <row r="981" spans="9:13" ht="12.5">
      <c r="I981" s="1"/>
      <c r="J981" s="1"/>
      <c r="M981" s="169"/>
    </row>
    <row r="982" spans="9:13" ht="12.5">
      <c r="I982" s="1"/>
      <c r="J982" s="1"/>
      <c r="M982" s="169"/>
    </row>
    <row r="983" spans="9:13" ht="12.5">
      <c r="I983" s="1"/>
      <c r="J983" s="1"/>
      <c r="M983" s="169"/>
    </row>
    <row r="984" spans="9:13" ht="12.5">
      <c r="I984" s="1"/>
      <c r="J984" s="1"/>
      <c r="M984" s="169"/>
    </row>
    <row r="985" spans="9:13" ht="12.5">
      <c r="I985" s="1"/>
      <c r="J985" s="1"/>
      <c r="M985" s="169"/>
    </row>
    <row r="986" spans="9:13" ht="12.5">
      <c r="I986" s="1"/>
      <c r="J986" s="1"/>
      <c r="M986" s="169"/>
    </row>
    <row r="987" spans="9:13" ht="12.5">
      <c r="I987" s="1"/>
      <c r="J987" s="1"/>
      <c r="M987" s="169"/>
    </row>
    <row r="988" spans="9:13" ht="12.5">
      <c r="I988" s="1"/>
      <c r="J988" s="1"/>
      <c r="M988" s="169"/>
    </row>
    <row r="989" spans="9:13" ht="12.5">
      <c r="I989" s="1"/>
      <c r="J989" s="1"/>
      <c r="M989" s="169"/>
    </row>
    <row r="990" spans="9:13" ht="12.5">
      <c r="I990" s="1"/>
      <c r="J990" s="1"/>
      <c r="M990" s="169"/>
    </row>
    <row r="991" spans="9:13" ht="12.5">
      <c r="I991" s="1"/>
      <c r="J991" s="1"/>
      <c r="M991" s="169"/>
    </row>
    <row r="992" spans="9:13" ht="12.5">
      <c r="I992" s="1"/>
      <c r="J992" s="1"/>
      <c r="M992" s="169"/>
    </row>
    <row r="993" spans="9:13" ht="12.5">
      <c r="I993" s="1"/>
      <c r="J993" s="1"/>
      <c r="M993" s="169"/>
    </row>
    <row r="994" spans="9:13" ht="12.5">
      <c r="I994" s="1"/>
      <c r="J994" s="1"/>
      <c r="M994" s="169"/>
    </row>
    <row r="995" spans="9:13" ht="12.5">
      <c r="I995" s="1"/>
      <c r="J995" s="1"/>
      <c r="M995" s="169"/>
    </row>
    <row r="996" spans="9:13" ht="12.5">
      <c r="I996" s="1"/>
      <c r="J996" s="1"/>
      <c r="M996" s="169"/>
    </row>
    <row r="997" spans="9:13" ht="12.5">
      <c r="I997" s="1"/>
      <c r="J997" s="1"/>
      <c r="M997" s="169"/>
    </row>
    <row r="998" spans="9:13" ht="12.5">
      <c r="I998" s="1"/>
      <c r="J998" s="1"/>
      <c r="M998" s="169"/>
    </row>
    <row r="999" spans="9:13" ht="12.5">
      <c r="I999" s="1"/>
      <c r="J999" s="1"/>
      <c r="M999" s="169"/>
    </row>
    <row r="1000" spans="9:13" ht="12.5">
      <c r="I1000" s="1"/>
      <c r="J1000" s="1"/>
      <c r="M1000" s="169"/>
    </row>
    <row r="1001" spans="9:13" ht="12.5">
      <c r="I1001" s="1"/>
      <c r="J1001" s="1"/>
      <c r="M1001" s="169"/>
    </row>
    <row r="1002" spans="9:13" ht="12.5">
      <c r="I1002" s="1"/>
      <c r="J1002" s="1"/>
      <c r="M1002" s="169"/>
    </row>
    <row r="1003" spans="9:13" ht="12.5">
      <c r="I1003" s="1"/>
      <c r="J1003" s="1"/>
      <c r="M1003" s="169"/>
    </row>
    <row r="1004" spans="9:13" ht="12.5">
      <c r="I1004" s="1"/>
      <c r="J1004" s="1"/>
      <c r="M1004" s="169"/>
    </row>
    <row r="1005" spans="9:13" ht="12.5">
      <c r="I1005" s="1"/>
      <c r="J1005" s="1"/>
      <c r="M1005" s="169"/>
    </row>
    <row r="1006" spans="9:13" ht="12.5">
      <c r="I1006" s="1"/>
      <c r="J1006" s="1"/>
      <c r="M1006" s="169"/>
    </row>
    <row r="1007" spans="9:13" ht="12.5">
      <c r="I1007" s="1"/>
      <c r="J1007" s="1"/>
      <c r="M1007" s="169"/>
    </row>
    <row r="1008" spans="9:13" ht="12.5">
      <c r="I1008" s="1"/>
      <c r="J1008" s="1"/>
      <c r="M1008" s="169"/>
    </row>
    <row r="1009" spans="9:13" ht="12.5">
      <c r="I1009" s="1"/>
      <c r="J1009" s="1"/>
      <c r="M1009" s="169"/>
    </row>
    <row r="1010" spans="9:13" ht="12.5">
      <c r="I1010" s="1"/>
      <c r="J1010" s="1"/>
      <c r="M1010" s="169"/>
    </row>
    <row r="1011" spans="9:13" ht="12.5">
      <c r="I1011" s="1"/>
      <c r="J1011" s="1"/>
      <c r="M1011" s="169"/>
    </row>
    <row r="1012" spans="9:13" ht="12.5">
      <c r="I1012" s="1"/>
      <c r="J1012" s="1"/>
      <c r="M1012" s="169"/>
    </row>
    <row r="1013" spans="9:13" ht="12.5">
      <c r="I1013" s="1"/>
      <c r="J1013" s="1"/>
      <c r="M1013" s="169"/>
    </row>
    <row r="1014" spans="9:13" ht="12.5">
      <c r="I1014" s="1"/>
      <c r="J1014" s="1"/>
      <c r="M1014" s="169"/>
    </row>
    <row r="1015" spans="9:13" ht="12.5">
      <c r="I1015" s="1"/>
      <c r="J1015" s="1"/>
      <c r="M1015" s="169"/>
    </row>
    <row r="1016" spans="9:13" ht="12.5">
      <c r="I1016" s="1"/>
      <c r="J1016" s="1"/>
      <c r="M1016" s="169"/>
    </row>
    <row r="1017" spans="9:13" ht="12.5">
      <c r="I1017" s="1"/>
      <c r="J1017" s="1"/>
      <c r="M1017" s="169"/>
    </row>
    <row r="1018" spans="9:13" ht="12.5">
      <c r="I1018" s="1"/>
      <c r="J1018" s="1"/>
      <c r="M1018" s="169"/>
    </row>
    <row r="1019" spans="9:13" ht="12.5">
      <c r="I1019" s="1"/>
      <c r="J1019" s="1"/>
      <c r="M1019" s="169"/>
    </row>
    <row r="1020" spans="9:13" ht="12.5">
      <c r="I1020" s="1"/>
      <c r="J1020" s="1"/>
      <c r="M1020" s="169"/>
    </row>
    <row r="1021" spans="9:13" ht="12.5">
      <c r="I1021" s="1"/>
      <c r="J1021" s="1"/>
      <c r="M1021" s="169"/>
    </row>
    <row r="1022" spans="9:13" ht="12.5">
      <c r="I1022" s="1"/>
      <c r="J1022" s="1"/>
      <c r="M1022" s="169"/>
    </row>
    <row r="1023" spans="9:13" ht="12.5">
      <c r="I1023" s="1"/>
      <c r="J1023" s="1"/>
      <c r="M1023" s="169"/>
    </row>
    <row r="1024" spans="9:13" ht="12.5">
      <c r="I1024" s="1"/>
      <c r="J1024" s="1"/>
      <c r="M1024" s="169"/>
    </row>
    <row r="1025" spans="9:13" ht="12.5">
      <c r="I1025" s="1"/>
      <c r="J1025" s="1"/>
      <c r="M1025" s="169"/>
    </row>
    <row r="1026" spans="9:13" ht="12.5">
      <c r="I1026" s="1"/>
      <c r="J1026" s="1"/>
      <c r="M1026" s="169"/>
    </row>
    <row r="1027" spans="9:13" ht="12.5">
      <c r="I1027" s="1"/>
      <c r="J1027" s="1"/>
      <c r="M1027" s="169"/>
    </row>
    <row r="1028" spans="9:13" ht="12.5">
      <c r="I1028" s="1"/>
      <c r="J1028" s="1"/>
      <c r="M1028" s="169"/>
    </row>
    <row r="1029" spans="9:13" ht="12.5">
      <c r="I1029" s="1"/>
      <c r="J1029" s="1"/>
      <c r="M1029" s="169"/>
    </row>
    <row r="1030" spans="9:13" ht="12.5">
      <c r="I1030" s="1"/>
      <c r="J1030" s="1"/>
      <c r="M1030" s="169"/>
    </row>
    <row r="1031" spans="9:13" ht="12.5">
      <c r="I1031" s="1"/>
      <c r="J1031" s="1"/>
      <c r="M1031" s="169"/>
    </row>
    <row r="1032" spans="9:13" ht="12.5">
      <c r="I1032" s="1"/>
      <c r="J1032" s="1"/>
      <c r="M1032" s="169"/>
    </row>
    <row r="1033" spans="9:13" ht="12.5">
      <c r="I1033" s="1"/>
      <c r="J1033" s="1"/>
      <c r="M1033" s="169"/>
    </row>
    <row r="1034" spans="9:13" ht="12.5">
      <c r="I1034" s="1"/>
      <c r="J1034" s="1"/>
      <c r="M1034" s="169"/>
    </row>
    <row r="1035" spans="9:13" ht="12.5">
      <c r="I1035" s="1"/>
      <c r="J1035" s="1"/>
      <c r="M1035" s="169"/>
    </row>
    <row r="1036" spans="9:13" ht="12.5">
      <c r="I1036" s="1"/>
      <c r="J1036" s="1"/>
      <c r="M1036" s="169"/>
    </row>
    <row r="1037" spans="9:13" ht="12.5">
      <c r="I1037" s="1"/>
      <c r="J1037" s="1"/>
      <c r="M1037" s="169"/>
    </row>
    <row r="1038" spans="9:13" ht="12.5">
      <c r="I1038" s="1"/>
      <c r="J1038" s="1"/>
      <c r="M1038" s="169"/>
    </row>
    <row r="1039" spans="9:13" ht="12.5">
      <c r="I1039" s="1"/>
      <c r="J1039" s="1"/>
      <c r="M1039" s="169"/>
    </row>
    <row r="1040" spans="9:13" ht="12.5">
      <c r="I1040" s="1"/>
      <c r="J1040" s="1"/>
      <c r="M1040" s="169"/>
    </row>
    <row r="1041" spans="9:13" ht="12.5">
      <c r="I1041" s="1"/>
      <c r="J1041" s="1"/>
      <c r="M1041" s="169"/>
    </row>
    <row r="1042" spans="9:13" ht="12.5">
      <c r="I1042" s="1"/>
      <c r="J1042" s="1"/>
      <c r="M1042" s="169"/>
    </row>
    <row r="1043" spans="9:13" ht="12.5">
      <c r="I1043" s="1"/>
      <c r="J1043" s="1"/>
      <c r="M1043" s="169"/>
    </row>
    <row r="1044" spans="9:13" ht="12.5">
      <c r="I1044" s="1"/>
      <c r="J1044" s="1"/>
      <c r="M1044" s="169"/>
    </row>
    <row r="1045" spans="9:13" ht="12.5">
      <c r="I1045" s="1"/>
      <c r="J1045" s="1"/>
      <c r="M1045" s="169"/>
    </row>
    <row r="1046" spans="9:13" ht="12.5">
      <c r="I1046" s="1"/>
      <c r="J1046" s="1"/>
      <c r="M1046" s="169"/>
    </row>
    <row r="1047" spans="9:13" ht="12.5">
      <c r="I1047" s="1"/>
      <c r="J1047" s="1"/>
      <c r="M1047" s="169"/>
    </row>
    <row r="1048" spans="9:13" ht="12.5">
      <c r="I1048" s="1"/>
      <c r="J1048" s="1"/>
      <c r="M1048" s="169"/>
    </row>
    <row r="1049" spans="9:13" ht="12.5">
      <c r="I1049" s="1"/>
      <c r="J1049" s="1"/>
      <c r="M1049" s="169"/>
    </row>
    <row r="1050" spans="9:13" ht="12.5">
      <c r="I1050" s="1"/>
      <c r="J1050" s="1"/>
      <c r="M1050" s="169"/>
    </row>
    <row r="1051" spans="9:13" ht="12.5">
      <c r="I1051" s="1"/>
      <c r="J1051" s="1"/>
      <c r="M1051" s="169"/>
    </row>
    <row r="1052" spans="9:13" ht="12.5">
      <c r="I1052" s="1"/>
      <c r="J1052" s="1"/>
      <c r="M1052" s="169"/>
    </row>
    <row r="1053" spans="9:13" ht="12.5">
      <c r="I1053" s="1"/>
      <c r="J1053" s="1"/>
      <c r="M1053" s="169"/>
    </row>
    <row r="1054" spans="9:13" ht="12.5">
      <c r="I1054" s="1"/>
      <c r="J1054" s="1"/>
      <c r="M1054" s="169"/>
    </row>
    <row r="1055" spans="9:13" ht="12.5">
      <c r="I1055" s="1"/>
      <c r="J1055" s="1"/>
      <c r="M1055" s="169"/>
    </row>
    <row r="1056" spans="9:13" ht="12.5">
      <c r="I1056" s="1"/>
      <c r="J1056" s="1"/>
      <c r="M1056" s="169"/>
    </row>
    <row r="1057" spans="9:13" ht="12.5">
      <c r="I1057" s="1"/>
      <c r="J1057" s="1"/>
      <c r="M1057" s="169"/>
    </row>
    <row r="1058" spans="9:13" ht="12.5">
      <c r="I1058" s="1"/>
      <c r="J1058" s="1"/>
      <c r="M1058" s="169"/>
    </row>
    <row r="1059" spans="9:13" ht="12.5">
      <c r="I1059" s="1"/>
      <c r="J1059" s="1"/>
      <c r="M1059" s="169"/>
    </row>
    <row r="1060" spans="9:13" ht="12.5">
      <c r="I1060" s="1"/>
      <c r="J1060" s="1"/>
      <c r="M1060" s="169"/>
    </row>
    <row r="1061" spans="9:13" ht="12.5">
      <c r="I1061" s="1"/>
      <c r="J1061" s="1"/>
      <c r="M1061" s="169"/>
    </row>
    <row r="1062" spans="9:13" ht="12.5">
      <c r="I1062" s="1"/>
      <c r="J1062" s="1"/>
      <c r="M1062" s="169"/>
    </row>
    <row r="1063" spans="9:13" ht="12.5">
      <c r="I1063" s="1"/>
      <c r="J1063" s="1"/>
      <c r="M1063" s="169"/>
    </row>
    <row r="1064" spans="9:13" ht="12.5">
      <c r="I1064" s="1"/>
      <c r="J1064" s="1"/>
      <c r="M1064" s="169"/>
    </row>
    <row r="1065" spans="9:13" ht="12.5">
      <c r="I1065" s="1"/>
      <c r="J1065" s="1"/>
      <c r="M1065" s="169"/>
    </row>
    <row r="1066" spans="9:13" ht="12.5">
      <c r="I1066" s="1"/>
      <c r="J1066" s="1"/>
      <c r="M1066" s="169"/>
    </row>
    <row r="1067" spans="9:13" ht="12.5">
      <c r="I1067" s="1"/>
      <c r="J1067" s="1"/>
      <c r="M1067" s="169"/>
    </row>
    <row r="1068" spans="9:13" ht="12.5">
      <c r="I1068" s="1"/>
      <c r="J1068" s="1"/>
      <c r="M1068" s="169"/>
    </row>
    <row r="1069" spans="9:13" ht="12.5">
      <c r="I1069" s="1"/>
      <c r="J1069" s="1"/>
      <c r="M1069" s="169"/>
    </row>
    <row r="1070" spans="9:13" ht="12.5">
      <c r="I1070" s="1"/>
      <c r="J1070" s="1"/>
      <c r="M1070" s="169"/>
    </row>
    <row r="1071" spans="9:13" ht="12.5">
      <c r="I1071" s="1"/>
      <c r="J1071" s="1"/>
      <c r="M1071" s="169"/>
    </row>
    <row r="1072" spans="9:13" ht="12.5">
      <c r="I1072" s="1"/>
      <c r="J1072" s="1"/>
      <c r="M1072" s="169"/>
    </row>
    <row r="1073" spans="9:13" ht="12.5">
      <c r="I1073" s="1"/>
      <c r="J1073" s="1"/>
      <c r="M1073" s="169"/>
    </row>
    <row r="1074" spans="9:13" ht="12.5">
      <c r="I1074" s="1"/>
      <c r="J1074" s="1"/>
      <c r="M1074" s="169"/>
    </row>
    <row r="1075" spans="9:13" ht="12.5">
      <c r="I1075" s="1"/>
      <c r="J1075" s="1"/>
      <c r="M1075" s="169"/>
    </row>
    <row r="1076" spans="9:13" ht="12.5">
      <c r="I1076" s="1"/>
      <c r="J1076" s="1"/>
      <c r="M1076" s="169"/>
    </row>
    <row r="1077" spans="9:13" ht="12.5">
      <c r="I1077" s="1"/>
      <c r="J1077" s="1"/>
      <c r="M1077" s="169"/>
    </row>
    <row r="1078" spans="9:13" ht="12.5">
      <c r="I1078" s="1"/>
      <c r="J1078" s="1"/>
      <c r="M1078" s="169"/>
    </row>
    <row r="1079" spans="9:13" ht="12.5">
      <c r="I1079" s="1"/>
      <c r="J1079" s="1"/>
      <c r="M1079" s="169"/>
    </row>
    <row r="1080" spans="9:13" ht="12.5">
      <c r="I1080" s="1"/>
      <c r="J1080" s="1"/>
      <c r="M1080" s="169"/>
    </row>
    <row r="1081" spans="9:13" ht="12.5">
      <c r="I1081" s="1"/>
      <c r="J1081" s="1"/>
      <c r="M1081" s="169"/>
    </row>
    <row r="1082" spans="9:13" ht="12.5">
      <c r="I1082" s="1"/>
      <c r="J1082" s="1"/>
      <c r="M1082" s="169"/>
    </row>
    <row r="1083" spans="9:13" ht="12.5">
      <c r="I1083" s="1"/>
      <c r="J1083" s="1"/>
      <c r="M1083" s="169"/>
    </row>
    <row r="1084" spans="9:13" ht="12.5">
      <c r="I1084" s="1"/>
      <c r="J1084" s="1"/>
      <c r="M1084" s="169"/>
    </row>
    <row r="1085" spans="9:13" ht="12.5">
      <c r="I1085" s="1"/>
      <c r="J1085" s="1"/>
      <c r="M1085" s="169"/>
    </row>
    <row r="1086" spans="9:13" ht="12.5">
      <c r="I1086" s="1"/>
      <c r="J1086" s="1"/>
      <c r="M1086" s="169"/>
    </row>
    <row r="1087" spans="9:13" ht="12.5">
      <c r="I1087" s="1"/>
      <c r="J1087" s="1"/>
      <c r="M1087" s="169"/>
    </row>
    <row r="1088" spans="9:13" ht="12.5">
      <c r="I1088" s="1"/>
      <c r="J1088" s="1"/>
      <c r="M1088" s="169"/>
    </row>
    <row r="1089" spans="9:13" ht="12.5">
      <c r="I1089" s="1"/>
      <c r="J1089" s="1"/>
      <c r="M1089" s="169"/>
    </row>
    <row r="1090" spans="9:13" ht="12.5">
      <c r="I1090" s="1"/>
      <c r="J1090" s="1"/>
      <c r="M1090" s="169"/>
    </row>
    <row r="1091" spans="9:13" ht="12.5">
      <c r="I1091" s="1"/>
      <c r="J1091" s="1"/>
      <c r="M1091" s="169"/>
    </row>
    <row r="1092" spans="9:13" ht="12.5">
      <c r="I1092" s="1"/>
      <c r="J1092" s="1"/>
      <c r="M1092" s="169"/>
    </row>
    <row r="1093" spans="9:13" ht="12.5">
      <c r="I1093" s="1"/>
      <c r="J1093" s="1"/>
      <c r="M1093" s="169"/>
    </row>
    <row r="1094" spans="9:13" ht="12.5">
      <c r="I1094" s="1"/>
      <c r="J1094" s="1"/>
      <c r="M1094" s="169"/>
    </row>
    <row r="1095" spans="9:13" ht="12.5">
      <c r="I1095" s="1"/>
      <c r="J1095" s="1"/>
      <c r="M1095" s="169"/>
    </row>
    <row r="1096" spans="9:13" ht="12.5">
      <c r="I1096" s="1"/>
      <c r="J1096" s="1"/>
      <c r="M1096" s="169"/>
    </row>
    <row r="1097" spans="9:13" ht="12.5">
      <c r="I1097" s="1"/>
      <c r="J1097" s="1"/>
      <c r="M1097" s="169"/>
    </row>
    <row r="1098" spans="9:13" ht="12.5">
      <c r="I1098" s="1"/>
      <c r="J1098" s="1"/>
      <c r="M1098" s="169"/>
    </row>
    <row r="1099" spans="9:13" ht="12.5">
      <c r="I1099" s="1"/>
      <c r="J1099" s="1"/>
      <c r="M1099" s="169"/>
    </row>
    <row r="1100" spans="9:13" ht="12.5">
      <c r="I1100" s="1"/>
      <c r="J1100" s="1"/>
      <c r="M1100" s="169"/>
    </row>
    <row r="1101" spans="9:13" ht="12.5">
      <c r="I1101" s="1"/>
      <c r="J1101" s="1"/>
      <c r="M1101" s="169"/>
    </row>
    <row r="1102" spans="9:13" ht="12.5">
      <c r="I1102" s="1"/>
      <c r="J1102" s="1"/>
      <c r="M1102" s="169"/>
    </row>
    <row r="1103" spans="9:13" ht="12.5">
      <c r="I1103" s="1"/>
      <c r="J1103" s="1"/>
      <c r="M1103" s="169"/>
    </row>
    <row r="1104" spans="9:13" ht="12.5">
      <c r="I1104" s="1"/>
      <c r="J1104" s="1"/>
      <c r="M1104" s="169"/>
    </row>
    <row r="1105" spans="9:13" ht="12.5">
      <c r="I1105" s="1"/>
      <c r="J1105" s="1"/>
      <c r="M1105" s="169"/>
    </row>
    <row r="1106" spans="9:13" ht="12.5">
      <c r="I1106" s="1"/>
      <c r="J1106" s="1"/>
      <c r="M1106" s="169"/>
    </row>
    <row r="1107" spans="9:13" ht="12.5">
      <c r="I1107" s="1"/>
      <c r="J1107" s="1"/>
      <c r="M1107" s="169"/>
    </row>
    <row r="1108" spans="9:13" ht="12.5">
      <c r="I1108" s="1"/>
      <c r="J1108" s="1"/>
      <c r="M1108" s="169"/>
    </row>
    <row r="1109" spans="9:13" ht="12.5">
      <c r="I1109" s="1"/>
      <c r="J1109" s="1"/>
      <c r="M1109" s="169"/>
    </row>
    <row r="1110" spans="9:13" ht="12.5">
      <c r="I1110" s="1"/>
      <c r="J1110" s="1"/>
      <c r="M1110" s="169"/>
    </row>
    <row r="1111" spans="9:13" ht="12.5">
      <c r="I1111" s="1"/>
      <c r="J1111" s="1"/>
      <c r="M1111" s="169"/>
    </row>
    <row r="1112" spans="9:13" ht="12.5">
      <c r="I1112" s="1"/>
      <c r="J1112" s="1"/>
      <c r="M1112" s="169"/>
    </row>
    <row r="1113" spans="9:13" ht="12.5">
      <c r="I1113" s="1"/>
      <c r="J1113" s="1"/>
      <c r="M1113" s="169"/>
    </row>
    <row r="1114" spans="9:13" ht="12.5">
      <c r="I1114" s="1"/>
      <c r="J1114" s="1"/>
      <c r="M1114" s="169"/>
    </row>
    <row r="1115" spans="9:13" ht="12.5">
      <c r="I1115" s="1"/>
      <c r="J1115" s="1"/>
      <c r="M1115" s="169"/>
    </row>
    <row r="1116" spans="9:13" ht="12.5">
      <c r="I1116" s="1"/>
      <c r="J1116" s="1"/>
      <c r="M1116" s="169"/>
    </row>
    <row r="1117" spans="9:13" ht="12.5">
      <c r="I1117" s="1"/>
      <c r="J1117" s="1"/>
      <c r="M1117" s="169"/>
    </row>
    <row r="1118" spans="9:13" ht="12.5">
      <c r="I1118" s="1"/>
      <c r="J1118" s="1"/>
      <c r="M1118" s="169"/>
    </row>
    <row r="1119" spans="9:13" ht="12.5">
      <c r="I1119" s="1"/>
      <c r="J1119" s="1"/>
      <c r="M1119" s="169"/>
    </row>
    <row r="1120" spans="9:13" ht="12.5">
      <c r="I1120" s="1"/>
      <c r="J1120" s="1"/>
      <c r="M1120" s="169"/>
    </row>
    <row r="1121" spans="9:13" ht="12.5">
      <c r="I1121" s="1"/>
      <c r="J1121" s="1"/>
      <c r="M1121" s="169"/>
    </row>
    <row r="1122" spans="9:13" ht="12.5">
      <c r="I1122" s="1"/>
      <c r="J1122" s="1"/>
      <c r="M1122" s="169"/>
    </row>
    <row r="1123" spans="9:13" ht="12.5">
      <c r="I1123" s="1"/>
      <c r="J1123" s="1"/>
      <c r="M1123" s="169"/>
    </row>
    <row r="1124" spans="9:13" ht="12.5">
      <c r="I1124" s="1"/>
      <c r="J1124" s="1"/>
      <c r="M1124" s="169"/>
    </row>
    <row r="1125" spans="9:13" ht="12.5">
      <c r="I1125" s="1"/>
      <c r="J1125" s="1"/>
      <c r="M1125" s="169"/>
    </row>
    <row r="1126" spans="9:13" ht="12.5">
      <c r="I1126" s="1"/>
      <c r="J1126" s="1"/>
      <c r="M1126" s="169"/>
    </row>
    <row r="1127" spans="9:13" ht="12.5">
      <c r="I1127" s="1"/>
      <c r="J1127" s="1"/>
      <c r="M1127" s="169"/>
    </row>
    <row r="1128" spans="9:13" ht="12.5">
      <c r="I1128" s="1"/>
      <c r="J1128" s="1"/>
      <c r="M1128" s="169"/>
    </row>
    <row r="1129" spans="9:13" ht="12.5">
      <c r="I1129" s="1"/>
      <c r="J1129" s="1"/>
      <c r="M1129" s="169"/>
    </row>
    <row r="1130" spans="9:13" ht="12.5">
      <c r="I1130" s="1"/>
      <c r="J1130" s="1"/>
      <c r="M1130" s="169"/>
    </row>
    <row r="1131" spans="9:13" ht="12.5">
      <c r="I1131" s="1"/>
      <c r="J1131" s="1"/>
      <c r="M1131" s="169"/>
    </row>
    <row r="1132" spans="9:13" ht="12.5">
      <c r="I1132" s="1"/>
      <c r="J1132" s="1"/>
      <c r="M1132" s="169"/>
    </row>
    <row r="1133" spans="9:13" ht="12.5">
      <c r="I1133" s="1"/>
      <c r="J1133" s="1"/>
      <c r="M1133" s="169"/>
    </row>
    <row r="1134" spans="9:13" ht="12.5">
      <c r="I1134" s="1"/>
      <c r="J1134" s="1"/>
      <c r="M1134" s="169"/>
    </row>
    <row r="1135" spans="9:13" ht="12.5">
      <c r="I1135" s="1"/>
      <c r="J1135" s="1"/>
      <c r="M1135" s="169"/>
    </row>
    <row r="1136" spans="9:13" ht="12.5">
      <c r="I1136" s="1"/>
      <c r="J1136" s="1"/>
      <c r="M1136" s="169"/>
    </row>
    <row r="1137" spans="9:13" ht="12.5">
      <c r="I1137" s="1"/>
      <c r="J1137" s="1"/>
      <c r="M1137" s="169"/>
    </row>
    <row r="1138" spans="9:13" ht="12.5">
      <c r="I1138" s="1"/>
      <c r="J1138" s="1"/>
      <c r="M1138" s="169"/>
    </row>
    <row r="1139" spans="9:13" ht="12.5">
      <c r="I1139" s="1"/>
      <c r="J1139" s="1"/>
      <c r="M1139" s="169"/>
    </row>
    <row r="1140" spans="9:13" ht="12.5">
      <c r="I1140" s="1"/>
      <c r="J1140" s="1"/>
      <c r="M1140" s="169"/>
    </row>
    <row r="1141" spans="9:13" ht="12.5">
      <c r="I1141" s="1"/>
      <c r="J1141" s="1"/>
      <c r="M1141" s="169"/>
    </row>
    <row r="1142" spans="9:13" ht="12.5">
      <c r="I1142" s="1"/>
      <c r="J1142" s="1"/>
      <c r="M1142" s="169"/>
    </row>
    <row r="1143" spans="9:13" ht="12.5">
      <c r="I1143" s="1"/>
      <c r="J1143" s="1"/>
      <c r="M1143" s="169"/>
    </row>
    <row r="1144" spans="9:13" ht="12.5">
      <c r="I1144" s="1"/>
      <c r="J1144" s="1"/>
      <c r="M1144" s="169"/>
    </row>
    <row r="1145" spans="9:13" ht="12.5">
      <c r="I1145" s="1"/>
      <c r="J1145" s="1"/>
      <c r="M1145" s="169"/>
    </row>
    <row r="1146" spans="9:13" ht="12.5">
      <c r="I1146" s="1"/>
      <c r="J1146" s="1"/>
      <c r="M1146" s="169"/>
    </row>
    <row r="1147" spans="9:13" ht="12.5">
      <c r="I1147" s="1"/>
      <c r="J1147" s="1"/>
      <c r="M1147" s="169"/>
    </row>
    <row r="1148" spans="9:13" ht="12.5">
      <c r="I1148" s="1"/>
      <c r="J1148" s="1"/>
      <c r="M1148" s="169"/>
    </row>
    <row r="1149" spans="9:13" ht="12.5">
      <c r="I1149" s="1"/>
      <c r="J1149" s="1"/>
      <c r="M1149" s="169"/>
    </row>
    <row r="1150" spans="9:13" ht="12.5">
      <c r="I1150" s="1"/>
      <c r="J1150" s="1"/>
      <c r="M1150" s="169"/>
    </row>
    <row r="1151" spans="9:13" ht="12.5">
      <c r="I1151" s="1"/>
      <c r="J1151" s="1"/>
      <c r="M1151" s="169"/>
    </row>
    <row r="1152" spans="9:13" ht="12.5">
      <c r="I1152" s="1"/>
      <c r="J1152" s="1"/>
      <c r="M1152" s="169"/>
    </row>
    <row r="1153" spans="9:13" ht="12.5">
      <c r="I1153" s="1"/>
      <c r="J1153" s="1"/>
      <c r="M1153" s="169"/>
    </row>
    <row r="1154" spans="9:13" ht="12.5">
      <c r="I1154" s="1"/>
      <c r="J1154" s="1"/>
      <c r="M1154" s="169"/>
    </row>
    <row r="1155" spans="9:13" ht="12.5">
      <c r="I1155" s="1"/>
      <c r="J1155" s="1"/>
      <c r="M1155" s="169"/>
    </row>
    <row r="1156" spans="9:13" ht="12.5">
      <c r="I1156" s="1"/>
      <c r="J1156" s="1"/>
      <c r="M1156" s="169"/>
    </row>
    <row r="1157" spans="9:13" ht="12.5">
      <c r="I1157" s="1"/>
      <c r="J1157" s="1"/>
      <c r="M1157" s="169"/>
    </row>
    <row r="1158" spans="9:13" ht="12.5">
      <c r="I1158" s="1"/>
      <c r="J1158" s="1"/>
      <c r="M1158" s="169"/>
    </row>
    <row r="1159" spans="9:13" ht="12.5">
      <c r="I1159" s="1"/>
      <c r="J1159" s="1"/>
      <c r="M1159" s="169"/>
    </row>
    <row r="1160" spans="9:13" ht="12.5">
      <c r="I1160" s="1"/>
      <c r="J1160" s="1"/>
      <c r="M1160" s="169"/>
    </row>
    <row r="1161" spans="9:13" ht="12.5">
      <c r="I1161" s="1"/>
      <c r="J1161" s="1"/>
      <c r="M1161" s="169"/>
    </row>
    <row r="1162" spans="9:13" ht="12.5">
      <c r="I1162" s="1"/>
      <c r="J1162" s="1"/>
      <c r="M1162" s="169"/>
    </row>
    <row r="1163" spans="9:13" ht="12.5">
      <c r="I1163" s="1"/>
      <c r="J1163" s="1"/>
      <c r="M1163" s="169"/>
    </row>
    <row r="1164" spans="9:13" ht="12.5">
      <c r="I1164" s="1"/>
      <c r="J1164" s="1"/>
      <c r="M1164" s="169"/>
    </row>
    <row r="1165" spans="9:13" ht="12.5">
      <c r="I1165" s="1"/>
      <c r="J1165" s="1"/>
      <c r="M1165" s="169"/>
    </row>
    <row r="1166" spans="9:13" ht="12.5">
      <c r="I1166" s="1"/>
      <c r="J1166" s="1"/>
      <c r="M1166" s="169"/>
    </row>
    <row r="1167" spans="9:13" ht="12.5">
      <c r="I1167" s="1"/>
      <c r="J1167" s="1"/>
      <c r="M1167" s="169"/>
    </row>
    <row r="1168" spans="9:13" ht="12.5">
      <c r="I1168" s="1"/>
      <c r="J1168" s="1"/>
      <c r="M1168" s="169"/>
    </row>
    <row r="1169" spans="9:13" ht="12.5">
      <c r="I1169" s="1"/>
      <c r="J1169" s="1"/>
      <c r="M1169" s="169"/>
    </row>
    <row r="1170" spans="9:13" ht="12.5">
      <c r="I1170" s="1"/>
      <c r="J1170" s="1"/>
      <c r="M1170" s="169"/>
    </row>
    <row r="1171" spans="9:13" ht="12.5">
      <c r="I1171" s="1"/>
      <c r="J1171" s="1"/>
      <c r="M1171" s="169"/>
    </row>
    <row r="1172" spans="9:13" ht="12.5">
      <c r="I1172" s="1"/>
      <c r="J1172" s="1"/>
      <c r="M1172" s="169"/>
    </row>
    <row r="1173" spans="9:13" ht="12.5">
      <c r="I1173" s="1"/>
      <c r="J1173" s="1"/>
      <c r="M1173" s="169"/>
    </row>
    <row r="1174" spans="9:13" ht="12.5">
      <c r="I1174" s="1"/>
      <c r="J1174" s="1"/>
      <c r="M1174" s="169"/>
    </row>
    <row r="1175" spans="9:13" ht="12.5">
      <c r="I1175" s="1"/>
      <c r="J1175" s="1"/>
      <c r="M1175" s="169"/>
    </row>
    <row r="1176" spans="9:13" ht="12.5">
      <c r="I1176" s="1"/>
      <c r="J1176" s="1"/>
      <c r="M1176" s="169"/>
    </row>
    <row r="1177" spans="9:13" ht="12.5">
      <c r="I1177" s="1"/>
      <c r="J1177" s="1"/>
      <c r="M1177" s="169"/>
    </row>
    <row r="1178" spans="9:13" ht="12.5">
      <c r="I1178" s="1"/>
      <c r="J1178" s="1"/>
      <c r="M1178" s="169"/>
    </row>
    <row r="1179" spans="9:13" ht="12.5">
      <c r="I1179" s="1"/>
      <c r="J1179" s="1"/>
      <c r="M1179" s="169"/>
    </row>
    <row r="1180" spans="9:13" ht="12.5">
      <c r="I1180" s="1"/>
      <c r="J1180" s="1"/>
      <c r="M1180" s="169"/>
    </row>
    <row r="1181" spans="9:13" ht="12.5">
      <c r="I1181" s="1"/>
      <c r="J1181" s="1"/>
      <c r="M1181" s="169"/>
    </row>
    <row r="1182" spans="9:13" ht="12.5">
      <c r="I1182" s="1"/>
      <c r="J1182" s="1"/>
      <c r="M1182" s="169"/>
    </row>
    <row r="1183" spans="9:13" ht="12.5">
      <c r="I1183" s="1"/>
      <c r="J1183" s="1"/>
      <c r="M1183" s="169"/>
    </row>
    <row r="1184" spans="9:13" ht="12.5">
      <c r="I1184" s="1"/>
      <c r="J1184" s="1"/>
      <c r="M1184" s="169"/>
    </row>
    <row r="1185" spans="9:13" ht="12.5">
      <c r="I1185" s="1"/>
      <c r="J1185" s="1"/>
      <c r="M1185" s="169"/>
    </row>
    <row r="1186" spans="9:13" ht="12.5">
      <c r="I1186" s="1"/>
      <c r="J1186" s="1"/>
      <c r="M1186" s="169"/>
    </row>
    <row r="1187" spans="9:13" ht="12.5">
      <c r="I1187" s="1"/>
      <c r="J1187" s="1"/>
      <c r="M1187" s="169"/>
    </row>
    <row r="1188" spans="9:13" ht="12.5">
      <c r="I1188" s="1"/>
      <c r="J1188" s="1"/>
      <c r="M1188" s="169"/>
    </row>
    <row r="1189" spans="9:13" ht="12.5">
      <c r="I1189" s="1"/>
      <c r="J1189" s="1"/>
      <c r="M1189" s="169"/>
    </row>
    <row r="1190" spans="9:13" ht="12.5">
      <c r="I1190" s="1"/>
      <c r="J1190" s="1"/>
      <c r="M1190" s="169"/>
    </row>
    <row r="1191" spans="9:13" ht="12.5">
      <c r="I1191" s="1"/>
      <c r="J1191" s="1"/>
      <c r="M1191" s="169"/>
    </row>
    <row r="1192" spans="9:13" ht="12.5">
      <c r="I1192" s="1"/>
      <c r="J1192" s="1"/>
      <c r="M1192" s="169"/>
    </row>
    <row r="1193" spans="9:13" ht="12.5">
      <c r="I1193" s="1"/>
      <c r="J1193" s="1"/>
      <c r="M1193" s="169"/>
    </row>
    <row r="1194" spans="9:13" ht="12.5">
      <c r="I1194" s="1"/>
      <c r="J1194" s="1"/>
      <c r="M1194" s="169"/>
    </row>
    <row r="1195" spans="9:13" ht="12.5">
      <c r="I1195" s="1"/>
      <c r="J1195" s="1"/>
      <c r="M1195" s="169"/>
    </row>
    <row r="1196" spans="9:13" ht="12.5">
      <c r="I1196" s="1"/>
      <c r="J1196" s="1"/>
      <c r="M1196" s="169"/>
    </row>
    <row r="1197" spans="9:13" ht="12.5">
      <c r="I1197" s="1"/>
      <c r="J1197" s="1"/>
      <c r="M1197" s="169"/>
    </row>
    <row r="1198" spans="9:13" ht="12.5">
      <c r="I1198" s="1"/>
      <c r="J1198" s="1"/>
      <c r="M1198" s="169"/>
    </row>
    <row r="1199" spans="9:13" ht="12.5">
      <c r="I1199" s="1"/>
      <c r="J1199" s="1"/>
      <c r="M1199" s="169"/>
    </row>
    <row r="1200" spans="9:13" ht="12.5">
      <c r="I1200" s="1"/>
      <c r="J1200" s="1"/>
      <c r="M1200" s="169"/>
    </row>
    <row r="1201" spans="9:13" ht="12.5">
      <c r="I1201" s="1"/>
      <c r="J1201" s="1"/>
      <c r="M1201" s="169"/>
    </row>
    <row r="1202" spans="9:13" ht="12.5">
      <c r="I1202" s="1"/>
      <c r="J1202" s="1"/>
      <c r="M1202" s="169"/>
    </row>
    <row r="1203" spans="9:13" ht="12.5">
      <c r="I1203" s="1"/>
      <c r="J1203" s="1"/>
      <c r="M1203" s="169"/>
    </row>
    <row r="1204" spans="9:13" ht="12.5">
      <c r="I1204" s="1"/>
      <c r="J1204" s="1"/>
      <c r="M1204" s="169"/>
    </row>
    <row r="1205" spans="9:13" ht="12.5">
      <c r="I1205" s="1"/>
      <c r="J1205" s="1"/>
      <c r="M1205" s="169"/>
    </row>
    <row r="1206" spans="9:13" ht="12.5">
      <c r="I1206" s="1"/>
      <c r="J1206" s="1"/>
      <c r="M1206" s="169"/>
    </row>
    <row r="1207" spans="9:13" ht="12.5">
      <c r="I1207" s="1"/>
      <c r="J1207" s="1"/>
      <c r="M1207" s="169"/>
    </row>
    <row r="1208" spans="9:13" ht="12.5">
      <c r="I1208" s="1"/>
      <c r="J1208" s="1"/>
      <c r="M1208" s="169"/>
    </row>
    <row r="1209" spans="9:13" ht="12.5">
      <c r="I1209" s="1"/>
      <c r="J1209" s="1"/>
      <c r="M1209" s="169"/>
    </row>
    <row r="1210" spans="9:13" ht="12.5">
      <c r="I1210" s="1"/>
      <c r="J1210" s="1"/>
      <c r="M1210" s="169"/>
    </row>
    <row r="1211" spans="9:13" ht="12.5">
      <c r="I1211" s="1"/>
      <c r="J1211" s="1"/>
      <c r="M1211" s="169"/>
    </row>
    <row r="1212" spans="9:13" ht="12.5">
      <c r="I1212" s="1"/>
      <c r="J1212" s="1"/>
      <c r="M1212" s="169"/>
    </row>
    <row r="1213" spans="9:13" ht="12.5">
      <c r="I1213" s="1"/>
      <c r="J1213" s="1"/>
      <c r="M1213" s="169"/>
    </row>
    <row r="1214" spans="9:13" ht="12.5">
      <c r="I1214" s="1"/>
      <c r="J1214" s="1"/>
      <c r="M1214" s="169"/>
    </row>
    <row r="1215" spans="9:13" ht="12.5">
      <c r="I1215" s="1"/>
      <c r="J1215" s="1"/>
      <c r="M1215" s="169"/>
    </row>
    <row r="1216" spans="9:13" ht="12.5">
      <c r="I1216" s="1"/>
      <c r="J1216" s="1"/>
      <c r="M1216" s="169"/>
    </row>
    <row r="1217" spans="9:13" ht="12.5">
      <c r="I1217" s="1"/>
      <c r="J1217" s="1"/>
      <c r="M1217" s="169"/>
    </row>
    <row r="1218" spans="9:13" ht="12.5">
      <c r="I1218" s="1"/>
      <c r="J1218" s="1"/>
      <c r="M1218" s="169"/>
    </row>
    <row r="1219" spans="9:13" ht="12.5">
      <c r="I1219" s="1"/>
      <c r="J1219" s="1"/>
      <c r="M1219" s="169"/>
    </row>
    <row r="1220" spans="9:13" ht="12.5">
      <c r="I1220" s="1"/>
      <c r="J1220" s="1"/>
      <c r="M1220" s="169"/>
    </row>
    <row r="1221" spans="9:13" ht="12.5">
      <c r="I1221" s="1"/>
      <c r="J1221" s="1"/>
      <c r="M1221" s="169"/>
    </row>
    <row r="1222" spans="9:13" ht="12.5">
      <c r="I1222" s="1"/>
      <c r="J1222" s="1"/>
      <c r="M1222" s="169"/>
    </row>
    <row r="1223" spans="9:13" ht="12.5">
      <c r="I1223" s="1"/>
      <c r="J1223" s="1"/>
      <c r="M1223" s="169"/>
    </row>
    <row r="1224" spans="9:13" ht="12.5">
      <c r="I1224" s="1"/>
      <c r="J1224" s="1"/>
      <c r="M1224" s="169"/>
    </row>
    <row r="1225" spans="9:13" ht="12.5">
      <c r="I1225" s="1"/>
      <c r="J1225" s="1"/>
      <c r="M1225" s="169"/>
    </row>
    <row r="1226" spans="9:13" ht="12.5">
      <c r="I1226" s="1"/>
      <c r="J1226" s="1"/>
      <c r="M1226" s="169"/>
    </row>
    <row r="1227" spans="9:13" ht="12.5">
      <c r="I1227" s="1"/>
      <c r="J1227" s="1"/>
      <c r="M1227" s="169"/>
    </row>
    <row r="1228" spans="9:13" ht="12.5">
      <c r="I1228" s="1"/>
      <c r="J1228" s="1"/>
      <c r="M1228" s="169"/>
    </row>
    <row r="1229" spans="9:13" ht="12.5">
      <c r="I1229" s="1"/>
      <c r="J1229" s="1"/>
      <c r="M1229" s="169"/>
    </row>
    <row r="1230" spans="9:13" ht="12.5">
      <c r="I1230" s="1"/>
      <c r="J1230" s="1"/>
      <c r="M1230" s="169"/>
    </row>
    <row r="1231" spans="9:13" ht="12.5">
      <c r="I1231" s="1"/>
      <c r="J1231" s="1"/>
      <c r="M1231" s="169"/>
    </row>
    <row r="1232" spans="9:13" ht="12.5">
      <c r="I1232" s="1"/>
      <c r="J1232" s="1"/>
      <c r="M1232" s="169"/>
    </row>
    <row r="1233" spans="9:13" ht="12.5">
      <c r="I1233" s="1"/>
      <c r="J1233" s="1"/>
      <c r="M1233" s="169"/>
    </row>
    <row r="1234" spans="9:13" ht="12.5">
      <c r="I1234" s="1"/>
      <c r="J1234" s="1"/>
      <c r="M1234" s="169"/>
    </row>
    <row r="1235" spans="9:13" ht="12.5">
      <c r="I1235" s="1"/>
      <c r="J1235" s="1"/>
      <c r="M1235" s="169"/>
    </row>
    <row r="1236" spans="9:13" ht="12.5">
      <c r="I1236" s="1"/>
      <c r="J1236" s="1"/>
      <c r="M1236" s="169"/>
    </row>
    <row r="1237" spans="9:13" ht="12.5">
      <c r="I1237" s="1"/>
      <c r="J1237" s="1"/>
      <c r="M1237" s="169"/>
    </row>
    <row r="1238" spans="9:13" ht="12.5">
      <c r="I1238" s="1"/>
      <c r="J1238" s="1"/>
      <c r="M1238" s="169"/>
    </row>
    <row r="1239" spans="9:13" ht="12.5">
      <c r="I1239" s="1"/>
      <c r="J1239" s="1"/>
      <c r="M1239" s="169"/>
    </row>
    <row r="1240" spans="9:13" ht="12.5">
      <c r="I1240" s="1"/>
      <c r="J1240" s="1"/>
      <c r="M1240" s="169"/>
    </row>
    <row r="1241" spans="9:13" ht="12.5">
      <c r="I1241" s="1"/>
      <c r="J1241" s="1"/>
      <c r="M1241" s="169"/>
    </row>
    <row r="1242" spans="9:13" ht="12.5">
      <c r="I1242" s="1"/>
      <c r="J1242" s="1"/>
      <c r="M1242" s="169"/>
    </row>
    <row r="1243" spans="9:13" ht="12.5">
      <c r="I1243" s="1"/>
      <c r="J1243" s="1"/>
      <c r="M1243" s="169"/>
    </row>
    <row r="1244" spans="9:13" ht="12.5">
      <c r="I1244" s="1"/>
      <c r="J1244" s="1"/>
      <c r="M1244" s="169"/>
    </row>
    <row r="1245" spans="9:13" ht="12.5">
      <c r="I1245" s="1"/>
      <c r="J1245" s="1"/>
      <c r="M1245" s="169"/>
    </row>
    <row r="1246" spans="9:13" ht="12.5">
      <c r="I1246" s="1"/>
      <c r="J1246" s="1"/>
      <c r="M1246" s="169"/>
    </row>
    <row r="1247" spans="9:13" ht="12.5">
      <c r="I1247" s="1"/>
      <c r="J1247" s="1"/>
      <c r="M1247" s="169"/>
    </row>
    <row r="1248" spans="9:13" ht="12.5">
      <c r="I1248" s="1"/>
      <c r="J1248" s="1"/>
      <c r="M1248" s="169"/>
    </row>
    <row r="1249" spans="9:13" ht="12.5">
      <c r="I1249" s="1"/>
      <c r="J1249" s="1"/>
      <c r="M1249" s="169"/>
    </row>
    <row r="1250" spans="9:13" ht="12.5">
      <c r="I1250" s="1"/>
      <c r="J1250" s="1"/>
      <c r="M1250" s="169"/>
    </row>
    <row r="1251" spans="9:13" ht="12.5">
      <c r="I1251" s="1"/>
      <c r="J1251" s="1"/>
      <c r="M1251" s="169"/>
    </row>
    <row r="1252" spans="9:13" ht="12.5">
      <c r="I1252" s="1"/>
      <c r="J1252" s="1"/>
      <c r="M1252" s="169"/>
    </row>
    <row r="1253" spans="9:13" ht="12.5">
      <c r="I1253" s="1"/>
      <c r="J1253" s="1"/>
      <c r="M1253" s="169"/>
    </row>
    <row r="1254" spans="9:13" ht="12.5">
      <c r="I1254" s="1"/>
      <c r="J1254" s="1"/>
      <c r="M1254" s="169"/>
    </row>
    <row r="1255" spans="9:13" ht="12.5">
      <c r="I1255" s="1"/>
      <c r="J1255" s="1"/>
      <c r="M1255" s="169"/>
    </row>
    <row r="1256" spans="9:13" ht="12.5">
      <c r="I1256" s="1"/>
      <c r="J1256" s="1"/>
      <c r="M1256" s="169"/>
    </row>
    <row r="1257" spans="9:13" ht="12.5">
      <c r="I1257" s="1"/>
      <c r="J1257" s="1"/>
      <c r="M1257" s="169"/>
    </row>
    <row r="1258" spans="9:13" ht="12.5">
      <c r="I1258" s="1"/>
      <c r="J1258" s="1"/>
      <c r="M1258" s="169"/>
    </row>
    <row r="1259" spans="9:13" ht="12.5">
      <c r="I1259" s="1"/>
      <c r="J1259" s="1"/>
      <c r="M1259" s="169"/>
    </row>
    <row r="1260" spans="9:13" ht="12.5">
      <c r="I1260" s="1"/>
      <c r="J1260" s="1"/>
      <c r="M1260" s="169"/>
    </row>
    <row r="1261" spans="9:13" ht="12.5">
      <c r="I1261" s="1"/>
      <c r="J1261" s="1"/>
      <c r="M1261" s="169"/>
    </row>
    <row r="1262" spans="9:13" ht="12.5">
      <c r="I1262" s="1"/>
      <c r="J1262" s="1"/>
      <c r="M1262" s="169"/>
    </row>
    <row r="1263" spans="9:13" ht="12.5">
      <c r="I1263" s="1"/>
      <c r="J1263" s="1"/>
      <c r="M1263" s="169"/>
    </row>
    <row r="1264" spans="9:13" ht="12.5">
      <c r="I1264" s="1"/>
      <c r="J1264" s="1"/>
      <c r="M1264" s="169"/>
    </row>
    <row r="1265" spans="9:13" ht="12.5">
      <c r="I1265" s="1"/>
      <c r="J1265" s="1"/>
      <c r="M1265" s="169"/>
    </row>
    <row r="1266" spans="9:13" ht="12.5">
      <c r="I1266" s="1"/>
      <c r="J1266" s="1"/>
      <c r="M1266" s="169"/>
    </row>
    <row r="1267" spans="9:13" ht="12.5">
      <c r="I1267" s="1"/>
      <c r="J1267" s="1"/>
      <c r="M1267" s="169"/>
    </row>
    <row r="1268" spans="9:13" ht="12.5">
      <c r="I1268" s="1"/>
      <c r="J1268" s="1"/>
      <c r="M1268" s="169"/>
    </row>
    <row r="1269" spans="9:13" ht="12.5">
      <c r="I1269" s="1"/>
      <c r="J1269" s="1"/>
      <c r="M1269" s="169"/>
    </row>
    <row r="1270" spans="9:13" ht="12.5">
      <c r="I1270" s="1"/>
      <c r="J1270" s="1"/>
      <c r="M1270" s="169"/>
    </row>
    <row r="1271" spans="9:13" ht="12.5">
      <c r="I1271" s="1"/>
      <c r="J1271" s="1"/>
      <c r="M1271" s="169"/>
    </row>
    <row r="1272" spans="9:13" ht="12.5">
      <c r="I1272" s="1"/>
      <c r="J1272" s="1"/>
      <c r="M1272" s="169"/>
    </row>
    <row r="1273" spans="9:13" ht="12.5">
      <c r="I1273" s="1"/>
      <c r="J1273" s="1"/>
      <c r="M1273" s="169"/>
    </row>
    <row r="1274" spans="9:13" ht="12.5">
      <c r="I1274" s="1"/>
      <c r="J1274" s="1"/>
      <c r="M1274" s="169"/>
    </row>
    <row r="1275" spans="9:13" ht="12.5">
      <c r="I1275" s="1"/>
      <c r="J1275" s="1"/>
      <c r="M1275" s="169"/>
    </row>
    <row r="1276" spans="9:13" ht="12.5">
      <c r="I1276" s="1"/>
      <c r="J1276" s="1"/>
      <c r="M1276" s="169"/>
    </row>
    <row r="1277" spans="9:13" ht="12.5">
      <c r="I1277" s="1"/>
      <c r="J1277" s="1"/>
      <c r="M1277" s="169"/>
    </row>
    <row r="1278" spans="9:13" ht="12.5">
      <c r="I1278" s="1"/>
      <c r="J1278" s="1"/>
      <c r="M1278" s="169"/>
    </row>
    <row r="1279" spans="9:13" ht="12.5">
      <c r="I1279" s="1"/>
      <c r="J1279" s="1"/>
      <c r="M1279" s="169"/>
    </row>
    <row r="1280" spans="9:13" ht="12.5">
      <c r="I1280" s="1"/>
      <c r="J1280" s="1"/>
      <c r="M1280" s="169"/>
    </row>
    <row r="1281" spans="9:13" ht="12.5">
      <c r="I1281" s="1"/>
      <c r="J1281" s="1"/>
      <c r="M1281" s="169"/>
    </row>
    <row r="1282" spans="9:13" ht="12.5">
      <c r="I1282" s="1"/>
      <c r="J1282" s="1"/>
      <c r="M1282" s="169"/>
    </row>
    <row r="1283" spans="9:13" ht="12.5">
      <c r="I1283" s="1"/>
      <c r="J1283" s="1"/>
      <c r="M1283" s="169"/>
    </row>
    <row r="1284" spans="9:13" ht="12.5">
      <c r="I1284" s="1"/>
      <c r="J1284" s="1"/>
      <c r="M1284" s="169"/>
    </row>
    <row r="1285" spans="9:13" ht="12.5">
      <c r="I1285" s="1"/>
      <c r="J1285" s="1"/>
      <c r="M1285" s="169"/>
    </row>
    <row r="1286" spans="9:13" ht="12.5">
      <c r="I1286" s="1"/>
      <c r="J1286" s="1"/>
      <c r="M1286" s="169"/>
    </row>
    <row r="1287" spans="9:13" ht="12.5">
      <c r="I1287" s="1"/>
      <c r="J1287" s="1"/>
      <c r="M1287" s="169"/>
    </row>
    <row r="1288" spans="9:13" ht="12.5">
      <c r="I1288" s="1"/>
      <c r="J1288" s="1"/>
      <c r="M1288" s="169"/>
    </row>
    <row r="1289" spans="9:13" ht="12.5">
      <c r="I1289" s="1"/>
      <c r="J1289" s="1"/>
      <c r="M1289" s="169"/>
    </row>
    <row r="1290" spans="9:13" ht="12.5">
      <c r="I1290" s="1"/>
      <c r="J1290" s="1"/>
      <c r="M1290" s="169"/>
    </row>
    <row r="1291" spans="9:13" ht="12.5">
      <c r="I1291" s="1"/>
      <c r="J1291" s="1"/>
      <c r="M1291" s="169"/>
    </row>
    <row r="1292" spans="9:13" ht="12.5">
      <c r="I1292" s="1"/>
      <c r="J1292" s="1"/>
      <c r="M1292" s="169"/>
    </row>
    <row r="1293" spans="9:13" ht="12.5">
      <c r="I1293" s="1"/>
      <c r="J1293" s="1"/>
      <c r="M1293" s="169"/>
    </row>
    <row r="1294" spans="9:13" ht="12.5">
      <c r="I1294" s="1"/>
      <c r="J1294" s="1"/>
      <c r="M1294" s="169"/>
    </row>
    <row r="1295" spans="9:13" ht="12.5">
      <c r="I1295" s="1"/>
      <c r="J1295" s="1"/>
      <c r="M1295" s="169"/>
    </row>
    <row r="1296" spans="9:13" ht="12.5">
      <c r="I1296" s="1"/>
      <c r="J1296" s="1"/>
      <c r="M1296" s="169"/>
    </row>
    <row r="1297" spans="9:13" ht="12.5">
      <c r="I1297" s="1"/>
      <c r="J1297" s="1"/>
      <c r="M1297" s="169"/>
    </row>
    <row r="1298" spans="9:13" ht="12.5">
      <c r="I1298" s="1"/>
      <c r="J1298" s="1"/>
      <c r="M1298" s="169"/>
    </row>
    <row r="1299" spans="9:13" ht="12.5">
      <c r="I1299" s="1"/>
      <c r="J1299" s="1"/>
      <c r="M1299" s="169"/>
    </row>
    <row r="1300" spans="9:13" ht="12.5">
      <c r="I1300" s="1"/>
      <c r="J1300" s="1"/>
      <c r="M1300" s="169"/>
    </row>
    <row r="1301" spans="9:13" ht="12.5">
      <c r="I1301" s="1"/>
      <c r="J1301" s="1"/>
      <c r="M1301" s="169"/>
    </row>
    <row r="1302" spans="9:13" ht="12.5">
      <c r="I1302" s="1"/>
      <c r="J1302" s="1"/>
      <c r="M1302" s="169"/>
    </row>
    <row r="1303" spans="9:13" ht="12.5">
      <c r="I1303" s="1"/>
      <c r="J1303" s="1"/>
      <c r="M1303" s="169"/>
    </row>
    <row r="1304" spans="9:13" ht="12.5">
      <c r="I1304" s="1"/>
      <c r="J1304" s="1"/>
      <c r="M1304" s="169"/>
    </row>
    <row r="1305" spans="9:13" ht="12.5">
      <c r="I1305" s="1"/>
      <c r="J1305" s="1"/>
      <c r="M1305" s="169"/>
    </row>
    <row r="1306" spans="9:13" ht="12.5">
      <c r="I1306" s="1"/>
      <c r="J1306" s="1"/>
      <c r="M1306" s="169"/>
    </row>
    <row r="1307" spans="9:13" ht="12.5">
      <c r="I1307" s="1"/>
      <c r="J1307" s="1"/>
      <c r="M1307" s="169"/>
    </row>
    <row r="1308" spans="9:13" ht="12.5">
      <c r="I1308" s="1"/>
      <c r="J1308" s="1"/>
      <c r="M1308" s="169"/>
    </row>
    <row r="1309" spans="9:13" ht="12.5">
      <c r="I1309" s="1"/>
      <c r="J1309" s="1"/>
      <c r="M1309" s="169"/>
    </row>
    <row r="1310" spans="9:13" ht="12.5">
      <c r="I1310" s="1"/>
      <c r="J1310" s="1"/>
      <c r="M1310" s="169"/>
    </row>
    <row r="1311" spans="9:13" ht="12.5">
      <c r="I1311" s="1"/>
      <c r="J1311" s="1"/>
      <c r="M1311" s="169"/>
    </row>
    <row r="1312" spans="9:13" ht="12.5">
      <c r="I1312" s="1"/>
      <c r="J1312" s="1"/>
      <c r="M1312" s="169"/>
    </row>
    <row r="1313" spans="9:13" ht="12.5">
      <c r="I1313" s="1"/>
      <c r="J1313" s="1"/>
      <c r="M1313" s="169"/>
    </row>
    <row r="1314" spans="9:13" ht="12.5">
      <c r="I1314" s="1"/>
      <c r="J1314" s="1"/>
      <c r="M1314" s="169"/>
    </row>
    <row r="1315" spans="9:13" ht="12.5">
      <c r="I1315" s="1"/>
      <c r="J1315" s="1"/>
      <c r="M1315" s="169"/>
    </row>
    <row r="1316" spans="9:13" ht="12.5">
      <c r="I1316" s="1"/>
      <c r="J1316" s="1"/>
      <c r="M1316" s="169"/>
    </row>
    <row r="1317" spans="9:13" ht="12.5">
      <c r="I1317" s="1"/>
      <c r="J1317" s="1"/>
      <c r="M1317" s="169"/>
    </row>
    <row r="1318" spans="9:13" ht="12.5">
      <c r="I1318" s="1"/>
      <c r="J1318" s="1"/>
      <c r="M1318" s="169"/>
    </row>
    <row r="1319" spans="9:13" ht="12.5">
      <c r="I1319" s="1"/>
      <c r="J1319" s="1"/>
      <c r="M1319" s="169"/>
    </row>
    <row r="1320" spans="9:13" ht="12.5">
      <c r="I1320" s="1"/>
      <c r="J1320" s="1"/>
      <c r="M1320" s="169"/>
    </row>
    <row r="1321" spans="9:13" ht="12.5">
      <c r="I1321" s="1"/>
      <c r="J1321" s="1"/>
      <c r="M1321" s="169"/>
    </row>
    <row r="1322" spans="9:13" ht="12.5">
      <c r="I1322" s="1"/>
      <c r="J1322" s="1"/>
      <c r="M1322" s="169"/>
    </row>
    <row r="1323" spans="9:13" ht="12.5">
      <c r="I1323" s="1"/>
      <c r="J1323" s="1"/>
      <c r="M1323" s="169"/>
    </row>
    <row r="1324" spans="9:13" ht="12.5">
      <c r="I1324" s="1"/>
      <c r="J1324" s="1"/>
      <c r="M1324" s="169"/>
    </row>
    <row r="1325" spans="9:13" ht="12.5">
      <c r="I1325" s="1"/>
      <c r="J1325" s="1"/>
      <c r="M1325" s="169"/>
    </row>
    <row r="1326" spans="9:13" ht="12.5">
      <c r="I1326" s="1"/>
      <c r="J1326" s="1"/>
      <c r="M1326" s="169"/>
    </row>
    <row r="1327" spans="9:13" ht="12.5">
      <c r="I1327" s="1"/>
      <c r="J1327" s="1"/>
      <c r="M1327" s="169"/>
    </row>
    <row r="1328" spans="9:13" ht="12.5">
      <c r="I1328" s="1"/>
      <c r="J1328" s="1"/>
      <c r="M1328" s="169"/>
    </row>
    <row r="1329" spans="9:13" ht="12.5">
      <c r="I1329" s="1"/>
      <c r="J1329" s="1"/>
      <c r="M1329" s="169"/>
    </row>
    <row r="1330" spans="9:13" ht="12.5">
      <c r="I1330" s="1"/>
      <c r="J1330" s="1"/>
      <c r="M1330" s="169"/>
    </row>
    <row r="1331" spans="9:13" ht="12.5">
      <c r="I1331" s="1"/>
      <c r="J1331" s="1"/>
      <c r="M1331" s="169"/>
    </row>
    <row r="1332" spans="9:13" ht="12.5">
      <c r="I1332" s="1"/>
      <c r="J1332" s="1"/>
      <c r="M1332" s="169"/>
    </row>
    <row r="1333" spans="9:13" ht="12.5">
      <c r="I1333" s="1"/>
      <c r="J1333" s="1"/>
      <c r="M1333" s="169"/>
    </row>
    <row r="1334" spans="9:13" ht="12.5">
      <c r="I1334" s="1"/>
      <c r="J1334" s="1"/>
      <c r="M1334" s="169"/>
    </row>
    <row r="1335" spans="9:13" ht="12.5">
      <c r="I1335" s="1"/>
      <c r="J1335" s="1"/>
      <c r="M1335" s="169"/>
    </row>
    <row r="1336" spans="9:13" ht="12.5">
      <c r="I1336" s="1"/>
      <c r="J1336" s="1"/>
      <c r="M1336" s="169"/>
    </row>
    <row r="1337" spans="9:13" ht="12.5">
      <c r="I1337" s="1"/>
      <c r="J1337" s="1"/>
      <c r="M1337" s="169"/>
    </row>
    <row r="1338" spans="9:13" ht="12.5">
      <c r="I1338" s="1"/>
      <c r="J1338" s="1"/>
      <c r="M1338" s="169"/>
    </row>
    <row r="1339" spans="9:13" ht="12.5">
      <c r="I1339" s="1"/>
      <c r="J1339" s="1"/>
      <c r="M1339" s="169"/>
    </row>
    <row r="1340" spans="9:13" ht="12.5">
      <c r="I1340" s="1"/>
      <c r="J1340" s="1"/>
      <c r="M1340" s="169"/>
    </row>
    <row r="1341" spans="9:13" ht="12.5">
      <c r="I1341" s="1"/>
      <c r="J1341" s="1"/>
      <c r="M1341" s="169"/>
    </row>
    <row r="1342" spans="9:13" ht="12.5">
      <c r="I1342" s="1"/>
      <c r="J1342" s="1"/>
      <c r="M1342" s="169"/>
    </row>
    <row r="1343" spans="9:13" ht="12.5">
      <c r="I1343" s="1"/>
      <c r="J1343" s="1"/>
      <c r="M1343" s="169"/>
    </row>
    <row r="1344" spans="9:13" ht="12.5">
      <c r="I1344" s="1"/>
      <c r="J1344" s="1"/>
      <c r="M1344" s="169"/>
    </row>
    <row r="1345" spans="9:13" ht="12.5">
      <c r="I1345" s="1"/>
      <c r="J1345" s="1"/>
      <c r="M1345" s="169"/>
    </row>
    <row r="1346" spans="9:13" ht="12.5">
      <c r="I1346" s="1"/>
      <c r="J1346" s="1"/>
      <c r="M1346" s="169"/>
    </row>
    <row r="1347" spans="9:13" ht="12.5">
      <c r="I1347" s="1"/>
      <c r="J1347" s="1"/>
      <c r="M1347" s="169"/>
    </row>
    <row r="1348" spans="9:13" ht="12.5">
      <c r="I1348" s="1"/>
      <c r="J1348" s="1"/>
      <c r="M1348" s="169"/>
    </row>
    <row r="1349" spans="9:13" ht="12.5">
      <c r="I1349" s="1"/>
      <c r="J1349" s="1"/>
      <c r="M1349" s="169"/>
    </row>
    <row r="1350" spans="9:13" ht="12.5">
      <c r="I1350" s="1"/>
      <c r="J1350" s="1"/>
      <c r="M1350" s="169"/>
    </row>
    <row r="1351" spans="9:13" ht="12.5">
      <c r="I1351" s="1"/>
      <c r="J1351" s="1"/>
      <c r="M1351" s="169"/>
    </row>
    <row r="1352" spans="9:13" ht="12.5">
      <c r="I1352" s="1"/>
      <c r="J1352" s="1"/>
      <c r="M1352" s="169"/>
    </row>
    <row r="1353" spans="9:13" ht="12.5">
      <c r="I1353" s="1"/>
      <c r="J1353" s="1"/>
      <c r="M1353" s="169"/>
    </row>
    <row r="1354" spans="9:13" ht="12.5">
      <c r="I1354" s="1"/>
      <c r="J1354" s="1"/>
      <c r="M1354" s="169"/>
    </row>
    <row r="1355" spans="9:13" ht="12.5">
      <c r="I1355" s="1"/>
      <c r="J1355" s="1"/>
      <c r="M1355" s="169"/>
    </row>
    <row r="1356" spans="9:13" ht="12.5">
      <c r="I1356" s="1"/>
      <c r="J1356" s="1"/>
      <c r="M1356" s="169"/>
    </row>
    <row r="1357" spans="9:13" ht="12.5">
      <c r="I1357" s="1"/>
      <c r="J1357" s="1"/>
      <c r="M1357" s="169"/>
    </row>
    <row r="1358" spans="9:13" ht="12.5">
      <c r="I1358" s="1"/>
      <c r="J1358" s="1"/>
      <c r="M1358" s="169"/>
    </row>
    <row r="1359" spans="9:13" ht="12.5">
      <c r="I1359" s="1"/>
      <c r="J1359" s="1"/>
      <c r="M1359" s="169"/>
    </row>
    <row r="1360" spans="9:13" ht="12.5">
      <c r="I1360" s="1"/>
      <c r="J1360" s="1"/>
      <c r="M1360" s="169"/>
    </row>
    <row r="1361" spans="9:13" ht="12.5">
      <c r="I1361" s="1"/>
      <c r="J1361" s="1"/>
      <c r="M1361" s="169"/>
    </row>
    <row r="1362" spans="9:13" ht="12.5">
      <c r="I1362" s="1"/>
      <c r="J1362" s="1"/>
      <c r="M1362" s="169"/>
    </row>
    <row r="1363" spans="9:13" ht="12.5">
      <c r="I1363" s="1"/>
      <c r="J1363" s="1"/>
      <c r="M1363" s="169"/>
    </row>
    <row r="1364" spans="9:13" ht="12.5">
      <c r="I1364" s="1"/>
      <c r="J1364" s="1"/>
      <c r="M1364" s="169"/>
    </row>
    <row r="1365" spans="9:13" ht="12.5">
      <c r="I1365" s="1"/>
      <c r="J1365" s="1"/>
      <c r="M1365" s="169"/>
    </row>
    <row r="1366" spans="9:13" ht="12.5">
      <c r="I1366" s="1"/>
      <c r="J1366" s="1"/>
      <c r="M1366" s="169"/>
    </row>
    <row r="1367" spans="9:13" ht="12.5">
      <c r="I1367" s="1"/>
      <c r="J1367" s="1"/>
      <c r="M1367" s="169"/>
    </row>
    <row r="1368" spans="9:13" ht="12.5">
      <c r="I1368" s="1"/>
      <c r="J1368" s="1"/>
      <c r="M1368" s="169"/>
    </row>
    <row r="1369" spans="9:13" ht="12.5">
      <c r="I1369" s="1"/>
      <c r="J1369" s="1"/>
      <c r="M1369" s="169"/>
    </row>
    <row r="1370" spans="9:13" ht="12.5">
      <c r="I1370" s="1"/>
      <c r="J1370" s="1"/>
      <c r="M1370" s="169"/>
    </row>
    <row r="1371" spans="9:13" ht="12.5">
      <c r="I1371" s="1"/>
      <c r="J1371" s="1"/>
      <c r="M1371" s="169"/>
    </row>
    <row r="1372" spans="9:13" ht="12.5">
      <c r="I1372" s="1"/>
      <c r="J1372" s="1"/>
      <c r="M1372" s="169"/>
    </row>
    <row r="1373" spans="9:13" ht="12.5">
      <c r="I1373" s="1"/>
      <c r="J1373" s="1"/>
      <c r="M1373" s="169"/>
    </row>
    <row r="1374" spans="9:13" ht="12.5">
      <c r="I1374" s="1"/>
      <c r="J1374" s="1"/>
      <c r="M1374" s="169"/>
    </row>
    <row r="1375" spans="9:13" ht="12.5">
      <c r="I1375" s="1"/>
      <c r="J1375" s="1"/>
      <c r="M1375" s="169"/>
    </row>
    <row r="1376" spans="9:13" ht="12.5">
      <c r="I1376" s="1"/>
      <c r="J1376" s="1"/>
      <c r="M1376" s="169"/>
    </row>
    <row r="1377" spans="9:13" ht="12.5">
      <c r="I1377" s="1"/>
      <c r="J1377" s="1"/>
      <c r="M1377" s="169"/>
    </row>
    <row r="1378" spans="9:13" ht="12.5">
      <c r="I1378" s="1"/>
      <c r="J1378" s="1"/>
      <c r="M1378" s="169"/>
    </row>
    <row r="1379" spans="9:13" ht="12.5">
      <c r="I1379" s="1"/>
      <c r="J1379" s="1"/>
      <c r="M1379" s="169"/>
    </row>
    <row r="1380" spans="9:13" ht="12.5">
      <c r="I1380" s="1"/>
      <c r="J1380" s="1"/>
      <c r="M1380" s="169"/>
    </row>
    <row r="1381" spans="9:13" ht="12.5">
      <c r="I1381" s="1"/>
      <c r="J1381" s="1"/>
      <c r="M1381" s="169"/>
    </row>
    <row r="1382" spans="9:13" ht="12.5">
      <c r="I1382" s="1"/>
      <c r="J1382" s="1"/>
      <c r="M1382" s="169"/>
    </row>
    <row r="1383" spans="9:13" ht="12.5">
      <c r="I1383" s="1"/>
      <c r="J1383" s="1"/>
      <c r="M1383" s="169"/>
    </row>
    <row r="1384" spans="9:13" ht="12.5">
      <c r="I1384" s="1"/>
      <c r="J1384" s="1"/>
      <c r="M1384" s="169"/>
    </row>
    <row r="1385" spans="9:13" ht="12.5">
      <c r="I1385" s="1"/>
      <c r="J1385" s="1"/>
      <c r="M1385" s="169"/>
    </row>
    <row r="1386" spans="9:13" ht="12.5">
      <c r="I1386" s="1"/>
      <c r="J1386" s="1"/>
      <c r="M1386" s="169"/>
    </row>
    <row r="1387" spans="9:13" ht="12.5">
      <c r="I1387" s="1"/>
      <c r="J1387" s="1"/>
      <c r="M1387" s="169"/>
    </row>
    <row r="1388" spans="9:13" ht="12.5">
      <c r="I1388" s="1"/>
      <c r="J1388" s="1"/>
      <c r="M1388" s="169"/>
    </row>
    <row r="1389" spans="9:13" ht="12.5">
      <c r="I1389" s="1"/>
      <c r="J1389" s="1"/>
      <c r="M1389" s="169"/>
    </row>
    <row r="1390" spans="9:13" ht="12.5">
      <c r="I1390" s="1"/>
      <c r="J1390" s="1"/>
      <c r="M1390" s="169"/>
    </row>
    <row r="1391" spans="9:13" ht="12.5">
      <c r="I1391" s="1"/>
      <c r="J1391" s="1"/>
      <c r="M1391" s="169"/>
    </row>
    <row r="1392" spans="9:13" ht="12.5">
      <c r="I1392" s="1"/>
      <c r="J1392" s="1"/>
      <c r="M1392" s="169"/>
    </row>
    <row r="1393" spans="9:13" ht="12.5">
      <c r="I1393" s="1"/>
      <c r="J1393" s="1"/>
      <c r="M1393" s="169"/>
    </row>
    <row r="1394" spans="9:13" ht="12.5">
      <c r="I1394" s="1"/>
      <c r="J1394" s="1"/>
      <c r="M1394" s="169"/>
    </row>
    <row r="1395" spans="9:13" ht="12.5">
      <c r="I1395" s="1"/>
      <c r="J1395" s="1"/>
      <c r="M1395" s="169"/>
    </row>
    <row r="1396" spans="9:13" ht="12.5">
      <c r="I1396" s="1"/>
      <c r="J1396" s="1"/>
      <c r="M1396" s="169"/>
    </row>
    <row r="1397" spans="9:13" ht="12.5">
      <c r="I1397" s="1"/>
      <c r="J1397" s="1"/>
      <c r="M1397" s="169"/>
    </row>
    <row r="1398" spans="9:13" ht="12.5">
      <c r="I1398" s="1"/>
      <c r="J1398" s="1"/>
      <c r="M1398" s="169"/>
    </row>
    <row r="1399" spans="9:13" ht="12.5">
      <c r="I1399" s="1"/>
      <c r="J1399" s="1"/>
      <c r="M1399" s="169"/>
    </row>
    <row r="1400" spans="9:13" ht="12.5">
      <c r="I1400" s="1"/>
      <c r="J1400" s="1"/>
      <c r="M1400" s="169"/>
    </row>
    <row r="1401" spans="9:13" ht="12.5">
      <c r="I1401" s="1"/>
      <c r="J1401" s="1"/>
      <c r="M1401" s="169"/>
    </row>
    <row r="1402" spans="9:13" ht="12.5">
      <c r="I1402" s="1"/>
      <c r="J1402" s="1"/>
      <c r="M1402" s="169"/>
    </row>
    <row r="1403" spans="9:13" ht="12.5">
      <c r="I1403" s="1"/>
      <c r="J1403" s="1"/>
      <c r="M1403" s="169"/>
    </row>
    <row r="1404" spans="9:13" ht="12.5">
      <c r="I1404" s="1"/>
      <c r="J1404" s="1"/>
      <c r="M1404" s="169"/>
    </row>
    <row r="1405" spans="9:13" ht="12.5">
      <c r="I1405" s="1"/>
      <c r="J1405" s="1"/>
      <c r="M1405" s="169"/>
    </row>
    <row r="1406" spans="9:13" ht="12.5">
      <c r="I1406" s="1"/>
      <c r="J1406" s="1"/>
      <c r="M1406" s="169"/>
    </row>
    <row r="1407" spans="9:13" ht="12.5">
      <c r="I1407" s="1"/>
      <c r="J1407" s="1"/>
      <c r="M1407" s="169"/>
    </row>
    <row r="1408" spans="9:13" ht="12.5">
      <c r="I1408" s="1"/>
      <c r="J1408" s="1"/>
      <c r="M1408" s="169"/>
    </row>
    <row r="1409" spans="9:13" ht="12.5">
      <c r="I1409" s="1"/>
      <c r="J1409" s="1"/>
      <c r="M1409" s="169"/>
    </row>
    <row r="1410" spans="9:13" ht="12.5">
      <c r="I1410" s="1"/>
      <c r="J1410" s="1"/>
      <c r="M1410" s="169"/>
    </row>
    <row r="1411" spans="9:13" ht="12.5">
      <c r="I1411" s="1"/>
      <c r="J1411" s="1"/>
      <c r="M1411" s="169"/>
    </row>
    <row r="1412" spans="9:13" ht="12.5">
      <c r="I1412" s="1"/>
      <c r="J1412" s="1"/>
      <c r="M1412" s="169"/>
    </row>
    <row r="1413" spans="9:13" ht="12.5">
      <c r="I1413" s="1"/>
      <c r="J1413" s="1"/>
      <c r="M1413" s="169"/>
    </row>
    <row r="1414" spans="9:13" ht="12.5">
      <c r="I1414" s="1"/>
      <c r="J1414" s="1"/>
      <c r="M1414" s="169"/>
    </row>
    <row r="1415" spans="9:13" ht="12.5">
      <c r="I1415" s="1"/>
      <c r="J1415" s="1"/>
      <c r="M1415" s="169"/>
    </row>
    <row r="1416" spans="9:13" ht="12.5">
      <c r="I1416" s="1"/>
      <c r="J1416" s="1"/>
      <c r="M1416" s="169"/>
    </row>
    <row r="1417" spans="9:13" ht="12.5">
      <c r="I1417" s="1"/>
      <c r="J1417" s="1"/>
      <c r="M1417" s="169"/>
    </row>
    <row r="1418" spans="9:13" ht="12.5">
      <c r="I1418" s="1"/>
      <c r="J1418" s="1"/>
      <c r="M1418" s="169"/>
    </row>
    <row r="1419" spans="9:13" ht="12.5">
      <c r="I1419" s="1"/>
      <c r="J1419" s="1"/>
      <c r="M1419" s="169"/>
    </row>
    <row r="1420" spans="9:13" ht="12.5">
      <c r="I1420" s="1"/>
      <c r="J1420" s="1"/>
      <c r="M1420" s="169"/>
    </row>
    <row r="1421" spans="9:13" ht="12.5">
      <c r="I1421" s="1"/>
      <c r="J1421" s="1"/>
      <c r="M1421" s="169"/>
    </row>
    <row r="1422" spans="9:13" ht="12.5">
      <c r="I1422" s="1"/>
      <c r="J1422" s="1"/>
      <c r="M1422" s="169"/>
    </row>
    <row r="1423" spans="9:13" ht="12.5">
      <c r="I1423" s="1"/>
      <c r="J1423" s="1"/>
      <c r="M1423" s="169"/>
    </row>
    <row r="1424" spans="9:13" ht="12.5">
      <c r="I1424" s="1"/>
      <c r="J1424" s="1"/>
      <c r="M1424" s="169"/>
    </row>
    <row r="1425" spans="9:13" ht="12.5">
      <c r="I1425" s="1"/>
      <c r="J1425" s="1"/>
      <c r="M1425" s="169"/>
    </row>
    <row r="1426" spans="9:13" ht="12.5">
      <c r="I1426" s="1"/>
      <c r="J1426" s="1"/>
      <c r="M1426" s="169"/>
    </row>
    <row r="1427" spans="9:13" ht="12.5">
      <c r="I1427" s="1"/>
      <c r="J1427" s="1"/>
      <c r="M1427" s="169"/>
    </row>
    <row r="1428" spans="9:13" ht="12.5">
      <c r="I1428" s="1"/>
      <c r="J1428" s="1"/>
      <c r="M1428" s="169"/>
    </row>
    <row r="1429" spans="9:13" ht="12.5">
      <c r="I1429" s="1"/>
      <c r="J1429" s="1"/>
      <c r="M1429" s="169"/>
    </row>
    <row r="1430" spans="9:13" ht="12.5">
      <c r="I1430" s="1"/>
      <c r="J1430" s="1"/>
      <c r="M1430" s="169"/>
    </row>
    <row r="1431" spans="9:13" ht="12.5">
      <c r="I1431" s="1"/>
      <c r="J1431" s="1"/>
      <c r="M1431" s="169"/>
    </row>
    <row r="1432" spans="9:13" ht="12.5">
      <c r="I1432" s="1"/>
      <c r="J1432" s="1"/>
      <c r="M1432" s="169"/>
    </row>
    <row r="1433" spans="9:13" ht="12.5">
      <c r="I1433" s="1"/>
      <c r="J1433" s="1"/>
      <c r="M1433" s="169"/>
    </row>
    <row r="1434" spans="9:13" ht="12.5">
      <c r="I1434" s="1"/>
      <c r="J1434" s="1"/>
      <c r="M1434" s="169"/>
    </row>
    <row r="1435" spans="9:13" ht="12.5">
      <c r="I1435" s="1"/>
      <c r="J1435" s="1"/>
      <c r="M1435" s="169"/>
    </row>
    <row r="1436" spans="9:13" ht="12.5">
      <c r="I1436" s="1"/>
      <c r="J1436" s="1"/>
      <c r="M1436" s="169"/>
    </row>
    <row r="1437" spans="9:13" ht="12.5">
      <c r="I1437" s="1"/>
      <c r="J1437" s="1"/>
      <c r="M1437" s="169"/>
    </row>
    <row r="1438" spans="9:13" ht="12.5">
      <c r="I1438" s="1"/>
      <c r="J1438" s="1"/>
      <c r="M1438" s="169"/>
    </row>
    <row r="1439" spans="9:13" ht="12.5">
      <c r="I1439" s="1"/>
      <c r="J1439" s="1"/>
      <c r="M1439" s="169"/>
    </row>
    <row r="1440" spans="9:13" ht="12.5">
      <c r="I1440" s="1"/>
      <c r="J1440" s="1"/>
      <c r="M1440" s="169"/>
    </row>
    <row r="1441" spans="9:13" ht="12.5">
      <c r="I1441" s="1"/>
      <c r="J1441" s="1"/>
      <c r="M1441" s="169"/>
    </row>
    <row r="1442" spans="9:13" ht="12.5">
      <c r="I1442" s="1"/>
      <c r="J1442" s="1"/>
      <c r="M1442" s="169"/>
    </row>
    <row r="1443" spans="9:13" ht="12.5">
      <c r="I1443" s="1"/>
      <c r="J1443" s="1"/>
      <c r="M1443" s="169"/>
    </row>
    <row r="1444" spans="9:13" ht="12.5">
      <c r="I1444" s="1"/>
      <c r="J1444" s="1"/>
      <c r="M1444" s="169"/>
    </row>
    <row r="1445" spans="9:13" ht="12.5">
      <c r="I1445" s="1"/>
      <c r="J1445" s="1"/>
      <c r="M1445" s="169"/>
    </row>
    <row r="1446" spans="9:13" ht="12.5">
      <c r="I1446" s="1"/>
      <c r="J1446" s="1"/>
      <c r="M1446" s="169"/>
    </row>
    <row r="1447" spans="9:13" ht="12.5">
      <c r="I1447" s="1"/>
      <c r="J1447" s="1"/>
      <c r="M1447" s="169"/>
    </row>
    <row r="1448" spans="9:13" ht="12.5">
      <c r="I1448" s="1"/>
      <c r="J1448" s="1"/>
      <c r="M1448" s="169"/>
    </row>
    <row r="1449" spans="9:13" ht="12.5">
      <c r="I1449" s="1"/>
      <c r="J1449" s="1"/>
      <c r="M1449" s="169"/>
    </row>
    <row r="1450" spans="9:13" ht="12.5">
      <c r="I1450" s="1"/>
      <c r="J1450" s="1"/>
      <c r="M1450" s="169"/>
    </row>
    <row r="1451" spans="9:13" ht="12.5">
      <c r="I1451" s="1"/>
      <c r="J1451" s="1"/>
      <c r="M1451" s="169"/>
    </row>
    <row r="1452" spans="9:13" ht="12.5">
      <c r="I1452" s="1"/>
      <c r="J1452" s="1"/>
      <c r="M1452" s="169"/>
    </row>
    <row r="1453" spans="9:13" ht="12.5">
      <c r="I1453" s="1"/>
      <c r="J1453" s="1"/>
      <c r="M1453" s="169"/>
    </row>
    <row r="1454" spans="9:13" ht="12.5">
      <c r="I1454" s="1"/>
      <c r="J1454" s="1"/>
      <c r="M1454" s="169"/>
    </row>
    <row r="1455" spans="9:13" ht="12.5">
      <c r="I1455" s="1"/>
      <c r="J1455" s="1"/>
      <c r="M1455" s="169"/>
    </row>
    <row r="1456" spans="9:13" ht="12.5">
      <c r="I1456" s="1"/>
      <c r="J1456" s="1"/>
      <c r="M1456" s="169"/>
    </row>
    <row r="1457" spans="9:13" ht="12.5">
      <c r="I1457" s="1"/>
      <c r="J1457" s="1"/>
      <c r="M1457" s="169"/>
    </row>
  </sheetData>
  <mergeCells count="863">
    <mergeCell ref="B195:B209"/>
    <mergeCell ref="C210:C259"/>
    <mergeCell ref="B210:B259"/>
    <mergeCell ref="E228:E259"/>
    <mergeCell ref="I228:I232"/>
    <mergeCell ref="J228:J231"/>
    <mergeCell ref="K228:K259"/>
    <mergeCell ref="L228:L236"/>
    <mergeCell ref="L251:L259"/>
    <mergeCell ref="I196:I200"/>
    <mergeCell ref="N228:N231"/>
    <mergeCell ref="J232:J235"/>
    <mergeCell ref="M232:M236"/>
    <mergeCell ref="N232:N236"/>
    <mergeCell ref="J236:J240"/>
    <mergeCell ref="L237:L250"/>
    <mergeCell ref="M237:M244"/>
    <mergeCell ref="N237:N244"/>
    <mergeCell ref="M245:M250"/>
    <mergeCell ref="N245:N250"/>
    <mergeCell ref="N251:N255"/>
    <mergeCell ref="M256:M259"/>
    <mergeCell ref="N256:N259"/>
    <mergeCell ref="E204:E209"/>
    <mergeCell ref="K204:K209"/>
    <mergeCell ref="L204:L209"/>
    <mergeCell ref="M204:M209"/>
    <mergeCell ref="N204:N209"/>
    <mergeCell ref="E211:E227"/>
    <mergeCell ref="I211:I213"/>
    <mergeCell ref="J211:J214"/>
    <mergeCell ref="K211:K227"/>
    <mergeCell ref="L211:L218"/>
    <mergeCell ref="M211:M214"/>
    <mergeCell ref="N211:N214"/>
    <mergeCell ref="I214:I217"/>
    <mergeCell ref="J215:J217"/>
    <mergeCell ref="M215:M218"/>
    <mergeCell ref="N215:N218"/>
    <mergeCell ref="I218:I221"/>
    <mergeCell ref="J218:J221"/>
    <mergeCell ref="L219:L227"/>
    <mergeCell ref="M219:M223"/>
    <mergeCell ref="M228:M231"/>
    <mergeCell ref="N219:N223"/>
    <mergeCell ref="M224:M227"/>
    <mergeCell ref="N224:N227"/>
    <mergeCell ref="A325:A419"/>
    <mergeCell ref="L784:L794"/>
    <mergeCell ref="L796:L803"/>
    <mergeCell ref="L804:L809"/>
    <mergeCell ref="L810:L819"/>
    <mergeCell ref="L753:L760"/>
    <mergeCell ref="L761:L765"/>
    <mergeCell ref="L767:L773"/>
    <mergeCell ref="L774:L779"/>
    <mergeCell ref="L780:L783"/>
    <mergeCell ref="L595:L601"/>
    <mergeCell ref="L602:L605"/>
    <mergeCell ref="L607:L610"/>
    <mergeCell ref="I651:I656"/>
    <mergeCell ref="L643:L648"/>
    <mergeCell ref="L649:L656"/>
    <mergeCell ref="I671:I675"/>
    <mergeCell ref="K737:K751"/>
    <mergeCell ref="H747:H748"/>
    <mergeCell ref="I747:I751"/>
    <mergeCell ref="J767:J768"/>
    <mergeCell ref="A72:A144"/>
    <mergeCell ref="A145:A146"/>
    <mergeCell ref="A527:A596"/>
    <mergeCell ref="A597:A598"/>
    <mergeCell ref="A599:A641"/>
    <mergeCell ref="L521:L526"/>
    <mergeCell ref="L528:L534"/>
    <mergeCell ref="L535:L539"/>
    <mergeCell ref="L541:L542"/>
    <mergeCell ref="L543:L546"/>
    <mergeCell ref="L547:L556"/>
    <mergeCell ref="L558:L563"/>
    <mergeCell ref="L564:L574"/>
    <mergeCell ref="I629:I631"/>
    <mergeCell ref="K629:K641"/>
    <mergeCell ref="I632:I635"/>
    <mergeCell ref="I636:I641"/>
    <mergeCell ref="J629:J630"/>
    <mergeCell ref="L629:L631"/>
    <mergeCell ref="L632:L641"/>
    <mergeCell ref="J515:J517"/>
    <mergeCell ref="I515:I517"/>
    <mergeCell ref="B375:B396"/>
    <mergeCell ref="C195:C209"/>
    <mergeCell ref="B397:B419"/>
    <mergeCell ref="N664:N666"/>
    <mergeCell ref="N667:N672"/>
    <mergeCell ref="N673:N675"/>
    <mergeCell ref="N677:N680"/>
    <mergeCell ref="N681:N684"/>
    <mergeCell ref="M688:M690"/>
    <mergeCell ref="N685:N690"/>
    <mergeCell ref="M679:M680"/>
    <mergeCell ref="N617:N620"/>
    <mergeCell ref="N621:N627"/>
    <mergeCell ref="N629:N631"/>
    <mergeCell ref="N632:N641"/>
    <mergeCell ref="N643:N648"/>
    <mergeCell ref="N649:N656"/>
    <mergeCell ref="I643:I644"/>
    <mergeCell ref="M643:M645"/>
    <mergeCell ref="M619:M620"/>
    <mergeCell ref="M621:M622"/>
    <mergeCell ref="M623:M627"/>
    <mergeCell ref="K617:K627"/>
    <mergeCell ref="I617:I618"/>
    <mergeCell ref="J617:J619"/>
    <mergeCell ref="I518:I521"/>
    <mergeCell ref="I607:I610"/>
    <mergeCell ref="K607:K615"/>
    <mergeCell ref="N521:N526"/>
    <mergeCell ref="N528:N534"/>
    <mergeCell ref="N535:N539"/>
    <mergeCell ref="N541:N542"/>
    <mergeCell ref="N543:N546"/>
    <mergeCell ref="N547:N556"/>
    <mergeCell ref="N558:N563"/>
    <mergeCell ref="N564:N574"/>
    <mergeCell ref="N576:N582"/>
    <mergeCell ref="J541:J542"/>
    <mergeCell ref="J543:J545"/>
    <mergeCell ref="J546:J548"/>
    <mergeCell ref="J558:J561"/>
    <mergeCell ref="J562:J564"/>
    <mergeCell ref="J565:J566"/>
    <mergeCell ref="J576:J578"/>
    <mergeCell ref="I589:I593"/>
    <mergeCell ref="J607:J609"/>
    <mergeCell ref="M561:M563"/>
    <mergeCell ref="M564:M574"/>
    <mergeCell ref="M576:M578"/>
    <mergeCell ref="M579:M582"/>
    <mergeCell ref="M583:M593"/>
    <mergeCell ref="M595:M598"/>
    <mergeCell ref="M599:M601"/>
    <mergeCell ref="J620:J622"/>
    <mergeCell ref="I677:I681"/>
    <mergeCell ref="J796:J798"/>
    <mergeCell ref="J799:J801"/>
    <mergeCell ref="K780:K794"/>
    <mergeCell ref="K796:K819"/>
    <mergeCell ref="I796:I802"/>
    <mergeCell ref="I803:I809"/>
    <mergeCell ref="I812:I819"/>
    <mergeCell ref="I767:I769"/>
    <mergeCell ref="I770:I773"/>
    <mergeCell ref="I786:I790"/>
    <mergeCell ref="K767:K779"/>
    <mergeCell ref="J769:J771"/>
    <mergeCell ref="J772:J775"/>
    <mergeCell ref="I761:I765"/>
    <mergeCell ref="K761:K765"/>
    <mergeCell ref="I686:I690"/>
    <mergeCell ref="I717:I721"/>
    <mergeCell ref="I723:I730"/>
    <mergeCell ref="K723:K728"/>
    <mergeCell ref="K729:K735"/>
    <mergeCell ref="I731:I735"/>
    <mergeCell ref="K709:K721"/>
    <mergeCell ref="J692:J694"/>
    <mergeCell ref="J695:J697"/>
    <mergeCell ref="J709:J712"/>
    <mergeCell ref="J723:J725"/>
    <mergeCell ref="N692:N697"/>
    <mergeCell ref="M695:M697"/>
    <mergeCell ref="N705:N707"/>
    <mergeCell ref="M712:M714"/>
    <mergeCell ref="N709:N714"/>
    <mergeCell ref="N715:N721"/>
    <mergeCell ref="N723:N728"/>
    <mergeCell ref="N698:N704"/>
    <mergeCell ref="M701:M704"/>
    <mergeCell ref="M692:M694"/>
    <mergeCell ref="L705:L707"/>
    <mergeCell ref="L709:L714"/>
    <mergeCell ref="L715:L721"/>
    <mergeCell ref="L723:L728"/>
    <mergeCell ref="I692:I694"/>
    <mergeCell ref="I703:I707"/>
    <mergeCell ref="K692:K707"/>
    <mergeCell ref="G753:G754"/>
    <mergeCell ref="J753:J756"/>
    <mergeCell ref="I753:I757"/>
    <mergeCell ref="K753:K760"/>
    <mergeCell ref="G755:G756"/>
    <mergeCell ref="G758:G759"/>
    <mergeCell ref="I758:I760"/>
    <mergeCell ref="N743:N751"/>
    <mergeCell ref="M753:M754"/>
    <mergeCell ref="N753:N760"/>
    <mergeCell ref="M743:M751"/>
    <mergeCell ref="L611:L615"/>
    <mergeCell ref="L617:L620"/>
    <mergeCell ref="L621:L627"/>
    <mergeCell ref="N737:N742"/>
    <mergeCell ref="M740:M742"/>
    <mergeCell ref="M646:M648"/>
    <mergeCell ref="M649:M656"/>
    <mergeCell ref="M658:M660"/>
    <mergeCell ref="M661:M663"/>
    <mergeCell ref="M664:M666"/>
    <mergeCell ref="M698:M700"/>
    <mergeCell ref="M705:M707"/>
    <mergeCell ref="M709:M711"/>
    <mergeCell ref="M715:M717"/>
    <mergeCell ref="M667:M669"/>
    <mergeCell ref="M670:M672"/>
    <mergeCell ref="M673:M675"/>
    <mergeCell ref="M677:M678"/>
    <mergeCell ref="N729:N735"/>
    <mergeCell ref="M737:M739"/>
    <mergeCell ref="M611:M615"/>
    <mergeCell ref="M635:M641"/>
    <mergeCell ref="M632:M634"/>
    <mergeCell ref="N611:N615"/>
    <mergeCell ref="J644:J646"/>
    <mergeCell ref="L729:L735"/>
    <mergeCell ref="L737:L742"/>
    <mergeCell ref="L743:L751"/>
    <mergeCell ref="L673:L675"/>
    <mergeCell ref="L677:L680"/>
    <mergeCell ref="L692:L697"/>
    <mergeCell ref="L698:L704"/>
    <mergeCell ref="J678:J681"/>
    <mergeCell ref="J737:J738"/>
    <mergeCell ref="J739:J741"/>
    <mergeCell ref="K643:K656"/>
    <mergeCell ref="N774:N779"/>
    <mergeCell ref="N780:N783"/>
    <mergeCell ref="M782:M783"/>
    <mergeCell ref="M755:M760"/>
    <mergeCell ref="M761:M763"/>
    <mergeCell ref="M767:M769"/>
    <mergeCell ref="M774:M779"/>
    <mergeCell ref="M780:M781"/>
    <mergeCell ref="M810:M819"/>
    <mergeCell ref="N810:N819"/>
    <mergeCell ref="N784:N794"/>
    <mergeCell ref="M796:M798"/>
    <mergeCell ref="N796:N803"/>
    <mergeCell ref="M799:M803"/>
    <mergeCell ref="M804:M806"/>
    <mergeCell ref="N804:N809"/>
    <mergeCell ref="M807:M809"/>
    <mergeCell ref="E614:E615"/>
    <mergeCell ref="E617:E625"/>
    <mergeCell ref="E626:E627"/>
    <mergeCell ref="E558:E569"/>
    <mergeCell ref="E570:E574"/>
    <mergeCell ref="E489:E496"/>
    <mergeCell ref="N761:N765"/>
    <mergeCell ref="M764:M765"/>
    <mergeCell ref="N767:N773"/>
    <mergeCell ref="M770:M773"/>
    <mergeCell ref="J658:J660"/>
    <mergeCell ref="J661:J664"/>
    <mergeCell ref="K658:K666"/>
    <mergeCell ref="K667:K675"/>
    <mergeCell ref="J631:J633"/>
    <mergeCell ref="L658:L663"/>
    <mergeCell ref="L664:L666"/>
    <mergeCell ref="L667:L672"/>
    <mergeCell ref="M718:M721"/>
    <mergeCell ref="M723:M725"/>
    <mergeCell ref="M726:M728"/>
    <mergeCell ref="M629:M631"/>
    <mergeCell ref="M729:M731"/>
    <mergeCell ref="M732:M735"/>
    <mergeCell ref="E383:E396"/>
    <mergeCell ref="E398:E404"/>
    <mergeCell ref="E405:E419"/>
    <mergeCell ref="E541:E551"/>
    <mergeCell ref="E552:E556"/>
    <mergeCell ref="E522:E526"/>
    <mergeCell ref="E528:E534"/>
    <mergeCell ref="K421:K431"/>
    <mergeCell ref="E535:E539"/>
    <mergeCell ref="I522:I526"/>
    <mergeCell ref="J528:J530"/>
    <mergeCell ref="K528:K539"/>
    <mergeCell ref="I528:I531"/>
    <mergeCell ref="I535:I539"/>
    <mergeCell ref="K541:K556"/>
    <mergeCell ref="I552:I556"/>
    <mergeCell ref="E601:E605"/>
    <mergeCell ref="D527:D593"/>
    <mergeCell ref="E576:E588"/>
    <mergeCell ref="E589:E593"/>
    <mergeCell ref="E595:E600"/>
    <mergeCell ref="K467:K473"/>
    <mergeCell ref="I441:I445"/>
    <mergeCell ref="J447:J448"/>
    <mergeCell ref="K558:K574"/>
    <mergeCell ref="K576:K593"/>
    <mergeCell ref="K515:K526"/>
    <mergeCell ref="I595:I598"/>
    <mergeCell ref="K595:K605"/>
    <mergeCell ref="I570:I574"/>
    <mergeCell ref="J579:J584"/>
    <mergeCell ref="J585:J586"/>
    <mergeCell ref="J595:J597"/>
    <mergeCell ref="I601:I605"/>
    <mergeCell ref="N509:N513"/>
    <mergeCell ref="N515:N520"/>
    <mergeCell ref="I497:I501"/>
    <mergeCell ref="I509:I513"/>
    <mergeCell ref="M506:M508"/>
    <mergeCell ref="N658:N663"/>
    <mergeCell ref="N583:N593"/>
    <mergeCell ref="N595:N601"/>
    <mergeCell ref="N602:N605"/>
    <mergeCell ref="N607:N610"/>
    <mergeCell ref="M521:M526"/>
    <mergeCell ref="M528:M531"/>
    <mergeCell ref="M532:M534"/>
    <mergeCell ref="M535:M539"/>
    <mergeCell ref="M541:M542"/>
    <mergeCell ref="M543:M544"/>
    <mergeCell ref="M545:M546"/>
    <mergeCell ref="M547:M556"/>
    <mergeCell ref="M558:M560"/>
    <mergeCell ref="L576:L582"/>
    <mergeCell ref="L583:L593"/>
    <mergeCell ref="M602:M605"/>
    <mergeCell ref="M607:M610"/>
    <mergeCell ref="M617:M618"/>
    <mergeCell ref="B342:B357"/>
    <mergeCell ref="E503:E508"/>
    <mergeCell ref="E509:E513"/>
    <mergeCell ref="E515:E521"/>
    <mergeCell ref="C474:C487"/>
    <mergeCell ref="B474:B487"/>
    <mergeCell ref="I447:I449"/>
    <mergeCell ref="N489:N494"/>
    <mergeCell ref="M492:M494"/>
    <mergeCell ref="M495:M501"/>
    <mergeCell ref="M503:M505"/>
    <mergeCell ref="N495:N501"/>
    <mergeCell ref="D474:D526"/>
    <mergeCell ref="I454:I458"/>
    <mergeCell ref="I460:I466"/>
    <mergeCell ref="I467:I473"/>
    <mergeCell ref="K460:K466"/>
    <mergeCell ref="M489:M491"/>
    <mergeCell ref="L489:L494"/>
    <mergeCell ref="J489:J490"/>
    <mergeCell ref="J491:J493"/>
    <mergeCell ref="J503:J505"/>
    <mergeCell ref="J506:J508"/>
    <mergeCell ref="K489:K501"/>
    <mergeCell ref="M518:M520"/>
    <mergeCell ref="L495:L501"/>
    <mergeCell ref="L503:L508"/>
    <mergeCell ref="L509:L513"/>
    <mergeCell ref="L515:L520"/>
    <mergeCell ref="E343:E352"/>
    <mergeCell ref="E359:E369"/>
    <mergeCell ref="E376:E382"/>
    <mergeCell ref="C325:C341"/>
    <mergeCell ref="C342:C357"/>
    <mergeCell ref="C358:C374"/>
    <mergeCell ref="K503:K513"/>
    <mergeCell ref="M398:M401"/>
    <mergeCell ref="M402:M404"/>
    <mergeCell ref="M410:M414"/>
    <mergeCell ref="M406:M409"/>
    <mergeCell ref="C375:C396"/>
    <mergeCell ref="C397:C419"/>
    <mergeCell ref="E497:E501"/>
    <mergeCell ref="K447:K458"/>
    <mergeCell ref="J449:J451"/>
    <mergeCell ref="J460:J463"/>
    <mergeCell ref="C432:C445"/>
    <mergeCell ref="E441:E445"/>
    <mergeCell ref="B133:B146"/>
    <mergeCell ref="C118:C132"/>
    <mergeCell ref="C133:C146"/>
    <mergeCell ref="B147:B162"/>
    <mergeCell ref="K177:K186"/>
    <mergeCell ref="K187:K194"/>
    <mergeCell ref="I191:I194"/>
    <mergeCell ref="J197:J200"/>
    <mergeCell ref="D72:D146"/>
    <mergeCell ref="C86:C99"/>
    <mergeCell ref="C100:C117"/>
    <mergeCell ref="J105:J108"/>
    <mergeCell ref="E148:E157"/>
    <mergeCell ref="E158:E162"/>
    <mergeCell ref="K73:K85"/>
    <mergeCell ref="K87:K99"/>
    <mergeCell ref="B163:B175"/>
    <mergeCell ref="B176:B194"/>
    <mergeCell ref="C163:C175"/>
    <mergeCell ref="C176:C194"/>
    <mergeCell ref="E172:E175"/>
    <mergeCell ref="E177:E190"/>
    <mergeCell ref="K148:K155"/>
    <mergeCell ref="K156:K162"/>
    <mergeCell ref="I158:I162"/>
    <mergeCell ref="L148:L153"/>
    <mergeCell ref="E467:E473"/>
    <mergeCell ref="E475:E482"/>
    <mergeCell ref="J475:J478"/>
    <mergeCell ref="N475:N481"/>
    <mergeCell ref="J479:J482"/>
    <mergeCell ref="L475:L481"/>
    <mergeCell ref="L482:L487"/>
    <mergeCell ref="E483:E487"/>
    <mergeCell ref="N482:N487"/>
    <mergeCell ref="K475:K487"/>
    <mergeCell ref="I483:I487"/>
    <mergeCell ref="I475:I477"/>
    <mergeCell ref="I478:I482"/>
    <mergeCell ref="M475:M478"/>
    <mergeCell ref="J433:J434"/>
    <mergeCell ref="I433:I437"/>
    <mergeCell ref="K433:K445"/>
    <mergeCell ref="J435:J437"/>
    <mergeCell ref="M467:M468"/>
    <mergeCell ref="L439:L445"/>
    <mergeCell ref="E191:E194"/>
    <mergeCell ref="E196:E203"/>
    <mergeCell ref="N87:N90"/>
    <mergeCell ref="M89:M90"/>
    <mergeCell ref="M91:M99"/>
    <mergeCell ref="N91:N99"/>
    <mergeCell ref="M101:M103"/>
    <mergeCell ref="N101:N106"/>
    <mergeCell ref="N148:N153"/>
    <mergeCell ref="M151:M153"/>
    <mergeCell ref="N119:N126"/>
    <mergeCell ref="M122:M126"/>
    <mergeCell ref="M148:M150"/>
    <mergeCell ref="M127:M132"/>
    <mergeCell ref="B100:B117"/>
    <mergeCell ref="B118:B132"/>
    <mergeCell ref="C72:C85"/>
    <mergeCell ref="C147:C162"/>
    <mergeCell ref="N60:N71"/>
    <mergeCell ref="M73:M76"/>
    <mergeCell ref="N73:N79"/>
    <mergeCell ref="M77:M79"/>
    <mergeCell ref="M80:M85"/>
    <mergeCell ref="M104:M106"/>
    <mergeCell ref="M107:M117"/>
    <mergeCell ref="N107:N117"/>
    <mergeCell ref="I56:I61"/>
    <mergeCell ref="K56:K71"/>
    <mergeCell ref="M60:M71"/>
    <mergeCell ref="K101:K117"/>
    <mergeCell ref="I113:I117"/>
    <mergeCell ref="I67:I71"/>
    <mergeCell ref="J73:J75"/>
    <mergeCell ref="I73:I76"/>
    <mergeCell ref="I95:I99"/>
    <mergeCell ref="K119:K132"/>
    <mergeCell ref="N127:N132"/>
    <mergeCell ref="M87:M88"/>
    <mergeCell ref="I3:I7"/>
    <mergeCell ref="I16:I20"/>
    <mergeCell ref="I22:I32"/>
    <mergeCell ref="K22:K38"/>
    <mergeCell ref="M26:M38"/>
    <mergeCell ref="I33:I38"/>
    <mergeCell ref="M40:M41"/>
    <mergeCell ref="K40:K54"/>
    <mergeCell ref="M42:M54"/>
    <mergeCell ref="I50:I54"/>
    <mergeCell ref="J46:J48"/>
    <mergeCell ref="J3:J6"/>
    <mergeCell ref="J7:J9"/>
    <mergeCell ref="L3:L11"/>
    <mergeCell ref="L12:L20"/>
    <mergeCell ref="N12:N20"/>
    <mergeCell ref="N22:N25"/>
    <mergeCell ref="N26:N38"/>
    <mergeCell ref="N40:N41"/>
    <mergeCell ref="N42:N54"/>
    <mergeCell ref="N56:N59"/>
    <mergeCell ref="K3:K20"/>
    <mergeCell ref="M3:M7"/>
    <mergeCell ref="N3:N11"/>
    <mergeCell ref="M8:M11"/>
    <mergeCell ref="M12:M20"/>
    <mergeCell ref="M22:M23"/>
    <mergeCell ref="M24:M25"/>
    <mergeCell ref="M56:M57"/>
    <mergeCell ref="M58:M59"/>
    <mergeCell ref="L22:L25"/>
    <mergeCell ref="L26:L38"/>
    <mergeCell ref="L40:L42"/>
    <mergeCell ref="L56:L59"/>
    <mergeCell ref="J56:J59"/>
    <mergeCell ref="J60:J63"/>
    <mergeCell ref="J101:J104"/>
    <mergeCell ref="J119:J120"/>
    <mergeCell ref="J121:J122"/>
    <mergeCell ref="J148:J149"/>
    <mergeCell ref="J150:J153"/>
    <mergeCell ref="E421:E426"/>
    <mergeCell ref="J76:J78"/>
    <mergeCell ref="I78:I80"/>
    <mergeCell ref="J87:J89"/>
    <mergeCell ref="I127:I132"/>
    <mergeCell ref="I142:I146"/>
    <mergeCell ref="I148:I149"/>
    <mergeCell ref="E164:E171"/>
    <mergeCell ref="I150:I155"/>
    <mergeCell ref="E370:E374"/>
    <mergeCell ref="E353:E357"/>
    <mergeCell ref="I343:I345"/>
    <mergeCell ref="I298:I302"/>
    <mergeCell ref="I304:I305"/>
    <mergeCell ref="I306:I308"/>
    <mergeCell ref="J359:J361"/>
    <mergeCell ref="J343:J344"/>
    <mergeCell ref="G7:G8"/>
    <mergeCell ref="G11:G12"/>
    <mergeCell ref="J10:J15"/>
    <mergeCell ref="J22:J25"/>
    <mergeCell ref="J26:J29"/>
    <mergeCell ref="J40:J42"/>
    <mergeCell ref="J43:J45"/>
    <mergeCell ref="C691:C707"/>
    <mergeCell ref="A2:A71"/>
    <mergeCell ref="C2:C20"/>
    <mergeCell ref="D2:D71"/>
    <mergeCell ref="E3:E15"/>
    <mergeCell ref="E16:E20"/>
    <mergeCell ref="E22:E32"/>
    <mergeCell ref="E50:E54"/>
    <mergeCell ref="E56:E66"/>
    <mergeCell ref="E67:E71"/>
    <mergeCell ref="B21:B38"/>
    <mergeCell ref="C21:C38"/>
    <mergeCell ref="B2:B20"/>
    <mergeCell ref="C39:C54"/>
    <mergeCell ref="B55:B71"/>
    <mergeCell ref="C55:C71"/>
    <mergeCell ref="E607:E613"/>
    <mergeCell ref="B39:B54"/>
    <mergeCell ref="B72:B85"/>
    <mergeCell ref="D594:D641"/>
    <mergeCell ref="D642:D707"/>
    <mergeCell ref="E33:E38"/>
    <mergeCell ref="E40:E49"/>
    <mergeCell ref="E73:E81"/>
    <mergeCell ref="E87:E94"/>
    <mergeCell ref="E95:E99"/>
    <mergeCell ref="E101:E112"/>
    <mergeCell ref="E119:E126"/>
    <mergeCell ref="E279:E283"/>
    <mergeCell ref="E285:E297"/>
    <mergeCell ref="E298:E302"/>
    <mergeCell ref="E304:E315"/>
    <mergeCell ref="E316:E324"/>
    <mergeCell ref="E326:E334"/>
    <mergeCell ref="E335:E341"/>
    <mergeCell ref="D147:D259"/>
    <mergeCell ref="D325:D419"/>
    <mergeCell ref="E658:E670"/>
    <mergeCell ref="E671:E675"/>
    <mergeCell ref="E677:E685"/>
    <mergeCell ref="B86:B99"/>
    <mergeCell ref="D708:D751"/>
    <mergeCell ref="C722:C735"/>
    <mergeCell ref="C736:C751"/>
    <mergeCell ref="C752:C765"/>
    <mergeCell ref="D752:D819"/>
    <mergeCell ref="C766:C794"/>
    <mergeCell ref="C795:C819"/>
    <mergeCell ref="E796:E811"/>
    <mergeCell ref="E812:E819"/>
    <mergeCell ref="E723:E730"/>
    <mergeCell ref="E731:E735"/>
    <mergeCell ref="E737:E746"/>
    <mergeCell ref="E747:E751"/>
    <mergeCell ref="E753:E760"/>
    <mergeCell ref="E761:E765"/>
    <mergeCell ref="E767:E785"/>
    <mergeCell ref="E692:E702"/>
    <mergeCell ref="E703:E707"/>
    <mergeCell ref="E709:E716"/>
    <mergeCell ref="E717:E721"/>
    <mergeCell ref="E786:E790"/>
    <mergeCell ref="E629:E635"/>
    <mergeCell ref="E636:E641"/>
    <mergeCell ref="E643:E650"/>
    <mergeCell ref="E651:E656"/>
    <mergeCell ref="E686:E690"/>
    <mergeCell ref="B676:B690"/>
    <mergeCell ref="C502:C513"/>
    <mergeCell ref="C514:C526"/>
    <mergeCell ref="C527:C539"/>
    <mergeCell ref="C488:C501"/>
    <mergeCell ref="C616:C627"/>
    <mergeCell ref="C628:C641"/>
    <mergeCell ref="C642:C656"/>
    <mergeCell ref="C606:C615"/>
    <mergeCell ref="C657:C675"/>
    <mergeCell ref="C676:C690"/>
    <mergeCell ref="B488:B501"/>
    <mergeCell ref="B502:B513"/>
    <mergeCell ref="C540:C556"/>
    <mergeCell ref="C557:C574"/>
    <mergeCell ref="C575:C593"/>
    <mergeCell ref="C594:C605"/>
    <mergeCell ref="B657:B675"/>
    <mergeCell ref="A474:A526"/>
    <mergeCell ref="A642:A707"/>
    <mergeCell ref="A708:A751"/>
    <mergeCell ref="A752:A819"/>
    <mergeCell ref="B752:B765"/>
    <mergeCell ref="B766:B794"/>
    <mergeCell ref="B795:B819"/>
    <mergeCell ref="C708:C721"/>
    <mergeCell ref="A147:A259"/>
    <mergeCell ref="A420:A473"/>
    <mergeCell ref="B446:B458"/>
    <mergeCell ref="B514:B526"/>
    <mergeCell ref="B691:B707"/>
    <mergeCell ref="B708:B721"/>
    <mergeCell ref="B722:B735"/>
    <mergeCell ref="B736:B751"/>
    <mergeCell ref="B527:B539"/>
    <mergeCell ref="B540:B556"/>
    <mergeCell ref="B557:B574"/>
    <mergeCell ref="B325:B341"/>
    <mergeCell ref="B575:B641"/>
    <mergeCell ref="B642:B656"/>
    <mergeCell ref="B358:B374"/>
    <mergeCell ref="C420:C431"/>
    <mergeCell ref="B420:B431"/>
    <mergeCell ref="B432:B445"/>
    <mergeCell ref="D420:D473"/>
    <mergeCell ref="C446:C458"/>
    <mergeCell ref="C459:C473"/>
    <mergeCell ref="I427:I431"/>
    <mergeCell ref="E433:E440"/>
    <mergeCell ref="E447:E453"/>
    <mergeCell ref="E460:E466"/>
    <mergeCell ref="E427:E431"/>
    <mergeCell ref="B459:B473"/>
    <mergeCell ref="L447:L452"/>
    <mergeCell ref="L453:L458"/>
    <mergeCell ref="L460:L463"/>
    <mergeCell ref="L464:L466"/>
    <mergeCell ref="L467:L473"/>
    <mergeCell ref="M509:M513"/>
    <mergeCell ref="M515:M517"/>
    <mergeCell ref="N433:N438"/>
    <mergeCell ref="M436:M438"/>
    <mergeCell ref="M439:M445"/>
    <mergeCell ref="N439:N445"/>
    <mergeCell ref="M447:M449"/>
    <mergeCell ref="N447:N452"/>
    <mergeCell ref="N467:N473"/>
    <mergeCell ref="M469:M473"/>
    <mergeCell ref="M450:M452"/>
    <mergeCell ref="M453:M458"/>
    <mergeCell ref="N453:N458"/>
    <mergeCell ref="M460:M461"/>
    <mergeCell ref="N460:N463"/>
    <mergeCell ref="M462:M463"/>
    <mergeCell ref="N464:N466"/>
    <mergeCell ref="M464:M466"/>
    <mergeCell ref="N503:N508"/>
    <mergeCell ref="N427:N431"/>
    <mergeCell ref="N365:N374"/>
    <mergeCell ref="N376:N379"/>
    <mergeCell ref="N421:N426"/>
    <mergeCell ref="L365:L374"/>
    <mergeCell ref="L376:L379"/>
    <mergeCell ref="L421:L426"/>
    <mergeCell ref="L433:L438"/>
    <mergeCell ref="L427:L431"/>
    <mergeCell ref="M433:M435"/>
    <mergeCell ref="N409:N414"/>
    <mergeCell ref="N402:N404"/>
    <mergeCell ref="N398:N401"/>
    <mergeCell ref="N406:N408"/>
    <mergeCell ref="K359:K374"/>
    <mergeCell ref="J362:J364"/>
    <mergeCell ref="K343:K357"/>
    <mergeCell ref="M343:M345"/>
    <mergeCell ref="N343:N349"/>
    <mergeCell ref="N350:N357"/>
    <mergeCell ref="I353:I357"/>
    <mergeCell ref="L343:L349"/>
    <mergeCell ref="L350:L357"/>
    <mergeCell ref="L359:L364"/>
    <mergeCell ref="J345:J346"/>
    <mergeCell ref="M346:M349"/>
    <mergeCell ref="N359:N364"/>
    <mergeCell ref="M350:M357"/>
    <mergeCell ref="M359:M360"/>
    <mergeCell ref="I359:I362"/>
    <mergeCell ref="J376:J377"/>
    <mergeCell ref="I376:I379"/>
    <mergeCell ref="I383:I396"/>
    <mergeCell ref="I416:I419"/>
    <mergeCell ref="K398:K405"/>
    <mergeCell ref="K406:K414"/>
    <mergeCell ref="L398:L405"/>
    <mergeCell ref="L406:L414"/>
    <mergeCell ref="M376:M377"/>
    <mergeCell ref="M378:M379"/>
    <mergeCell ref="I398:I404"/>
    <mergeCell ref="I405:I415"/>
    <mergeCell ref="J398:J401"/>
    <mergeCell ref="K196:K203"/>
    <mergeCell ref="K304:K311"/>
    <mergeCell ref="M304:M311"/>
    <mergeCell ref="N267:N283"/>
    <mergeCell ref="M167:M170"/>
    <mergeCell ref="L164:L170"/>
    <mergeCell ref="L171:L175"/>
    <mergeCell ref="J326:J328"/>
    <mergeCell ref="N304:N311"/>
    <mergeCell ref="J285:J287"/>
    <mergeCell ref="K285:K292"/>
    <mergeCell ref="J288:J290"/>
    <mergeCell ref="N299:N302"/>
    <mergeCell ref="M285:M287"/>
    <mergeCell ref="N285:N290"/>
    <mergeCell ref="M288:M290"/>
    <mergeCell ref="M291:M292"/>
    <mergeCell ref="N291:N292"/>
    <mergeCell ref="N293:N298"/>
    <mergeCell ref="N312:N317"/>
    <mergeCell ref="L285:L290"/>
    <mergeCell ref="L291:L292"/>
    <mergeCell ref="L293:L298"/>
    <mergeCell ref="L299:L302"/>
    <mergeCell ref="N333:N338"/>
    <mergeCell ref="M336:M338"/>
    <mergeCell ref="M339:M341"/>
    <mergeCell ref="N339:N341"/>
    <mergeCell ref="M326:M328"/>
    <mergeCell ref="N326:N332"/>
    <mergeCell ref="L312:L317"/>
    <mergeCell ref="I285:I288"/>
    <mergeCell ref="K293:K302"/>
    <mergeCell ref="J304:J306"/>
    <mergeCell ref="J307:J309"/>
    <mergeCell ref="K312:K315"/>
    <mergeCell ref="I270:I278"/>
    <mergeCell ref="I279:I283"/>
    <mergeCell ref="N154:N155"/>
    <mergeCell ref="N156:N162"/>
    <mergeCell ref="M159:M162"/>
    <mergeCell ref="N171:N175"/>
    <mergeCell ref="K164:K170"/>
    <mergeCell ref="K171:K175"/>
    <mergeCell ref="I172:I175"/>
    <mergeCell ref="M171:M175"/>
    <mergeCell ref="J164:J166"/>
    <mergeCell ref="I164:I167"/>
    <mergeCell ref="N164:N170"/>
    <mergeCell ref="J177:J180"/>
    <mergeCell ref="J181:J182"/>
    <mergeCell ref="N193:N194"/>
    <mergeCell ref="N177:N182"/>
    <mergeCell ref="M180:M182"/>
    <mergeCell ref="N183:N186"/>
    <mergeCell ref="N187:N192"/>
    <mergeCell ref="M189:M192"/>
    <mergeCell ref="M193:M194"/>
    <mergeCell ref="M177:M179"/>
    <mergeCell ref="M183:M186"/>
    <mergeCell ref="L73:L79"/>
    <mergeCell ref="L43:L54"/>
    <mergeCell ref="L60:L71"/>
    <mergeCell ref="L87:L90"/>
    <mergeCell ref="L91:L99"/>
    <mergeCell ref="L101:L106"/>
    <mergeCell ref="L107:L117"/>
    <mergeCell ref="L119:L126"/>
    <mergeCell ref="L127:L132"/>
    <mergeCell ref="L304:L311"/>
    <mergeCell ref="L177:L182"/>
    <mergeCell ref="L183:L186"/>
    <mergeCell ref="L187:L192"/>
    <mergeCell ref="L193:L194"/>
    <mergeCell ref="L196:L201"/>
    <mergeCell ref="L202:L203"/>
    <mergeCell ref="M312:M315"/>
    <mergeCell ref="M316:M319"/>
    <mergeCell ref="M199:M201"/>
    <mergeCell ref="M202:M203"/>
    <mergeCell ref="M261:M263"/>
    <mergeCell ref="L261:L266"/>
    <mergeCell ref="L267:L283"/>
    <mergeCell ref="M267:M283"/>
    <mergeCell ref="M187:M188"/>
    <mergeCell ref="M264:M266"/>
    <mergeCell ref="M196:M198"/>
    <mergeCell ref="M251:M255"/>
    <mergeCell ref="A260:A324"/>
    <mergeCell ref="B260:B283"/>
    <mergeCell ref="C260:C283"/>
    <mergeCell ref="D260:D324"/>
    <mergeCell ref="B284:B302"/>
    <mergeCell ref="C284:C302"/>
    <mergeCell ref="B303:B324"/>
    <mergeCell ref="C303:C324"/>
    <mergeCell ref="E261:E278"/>
    <mergeCell ref="E82:E85"/>
    <mergeCell ref="L80:L85"/>
    <mergeCell ref="N80:N85"/>
    <mergeCell ref="E113:E117"/>
    <mergeCell ref="E127:E132"/>
    <mergeCell ref="E142:E146"/>
    <mergeCell ref="I289:I297"/>
    <mergeCell ref="M293:M296"/>
    <mergeCell ref="M297:M299"/>
    <mergeCell ref="L154:L155"/>
    <mergeCell ref="L156:L162"/>
    <mergeCell ref="M119:M121"/>
    <mergeCell ref="M154:M155"/>
    <mergeCell ref="M156:M158"/>
    <mergeCell ref="M164:M166"/>
    <mergeCell ref="I261:I266"/>
    <mergeCell ref="K261:K283"/>
    <mergeCell ref="I267:I269"/>
    <mergeCell ref="N196:N201"/>
    <mergeCell ref="N202:N203"/>
    <mergeCell ref="N261:N266"/>
    <mergeCell ref="J261:J262"/>
    <mergeCell ref="J263:J265"/>
    <mergeCell ref="I204:I209"/>
    <mergeCell ref="M479:M483"/>
    <mergeCell ref="K677:K683"/>
    <mergeCell ref="M684:M687"/>
    <mergeCell ref="L684:L690"/>
    <mergeCell ref="K684:K690"/>
    <mergeCell ref="M784:M788"/>
    <mergeCell ref="M789:M794"/>
    <mergeCell ref="I316:I321"/>
    <mergeCell ref="J329:J332"/>
    <mergeCell ref="I326:I332"/>
    <mergeCell ref="M361:M366"/>
    <mergeCell ref="K376:K379"/>
    <mergeCell ref="M421:M424"/>
    <mergeCell ref="M425:M427"/>
    <mergeCell ref="L326:L332"/>
    <mergeCell ref="L333:L338"/>
    <mergeCell ref="L339:L341"/>
    <mergeCell ref="M329:M332"/>
    <mergeCell ref="M333:M335"/>
    <mergeCell ref="K326:K341"/>
    <mergeCell ref="I335:I341"/>
    <mergeCell ref="J378:J379"/>
    <mergeCell ref="J421:J423"/>
    <mergeCell ref="I370:I374"/>
  </mergeCells>
  <hyperlinks>
    <hyperlink ref="G404" r:id="rId1" xr:uid="{5CF6A2DA-AEF9-4661-9947-53328AE1BFA6}"/>
    <hyperlink ref="G399" r:id="rId2" xr:uid="{4EF0C76D-72AE-4483-8AC6-1AE4F900977E}"/>
    <hyperlink ref="G400" r:id="rId3" xr:uid="{05FEB47D-3722-44C6-976D-F05DA7048AA4}"/>
    <hyperlink ref="G402" r:id="rId4" xr:uid="{C5031C95-7117-43DF-934A-FDBC048B4956}"/>
    <hyperlink ref="H405" r:id="rId5" xr:uid="{D0652605-940A-40A8-A2C0-7B48381F6944}"/>
    <hyperlink ref="H406" r:id="rId6" xr:uid="{8ECE1384-FECD-4E7F-8CD7-61072416FEE2}"/>
    <hyperlink ref="H407" r:id="rId7" xr:uid="{927686F5-CC17-4984-97A3-C3794F08E3A8}"/>
    <hyperlink ref="H408" r:id="rId8" xr:uid="{BFD9B81D-836E-453E-8A2E-0C47AC1A6BF3}"/>
    <hyperlink ref="H409" r:id="rId9" xr:uid="{AE836765-0575-4ED3-8657-C54612281ED0}"/>
    <hyperlink ref="H410" r:id="rId10" xr:uid="{04A0B1F8-0688-4E9C-811B-F050E25A8C9D}"/>
    <hyperlink ref="G212" r:id="rId11" xr:uid="{10FA03DC-3D40-4968-AD3A-639136A5D2EF}"/>
    <hyperlink ref="G213" r:id="rId12" xr:uid="{D52F5544-AEBB-47AA-98EB-52626EE1E955}"/>
    <hyperlink ref="G214" r:id="rId13" xr:uid="{8D6A19F4-B151-4724-AAFA-752F5CB89483}"/>
    <hyperlink ref="G216" r:id="rId14" xr:uid="{AD3F0D5E-9841-4EAE-98B0-B6D278E71535}"/>
    <hyperlink ref="G215" r:id="rId15" xr:uid="{DE722A3E-A8A3-45BB-BFAA-D12BE5F163C9}"/>
    <hyperlink ref="H228" r:id="rId16" xr:uid="{13E5A8A4-97C4-480F-9914-264A3717D9D2}"/>
    <hyperlink ref="H229" r:id="rId17" xr:uid="{DFFC01EC-B99F-4F6F-9BC9-B2894541C866}"/>
    <hyperlink ref="H230" r:id="rId18" xr:uid="{086819BF-7DDB-4F79-AD4F-7966DAF34A68}"/>
    <hyperlink ref="H231" r:id="rId19" xr:uid="{495FF69E-F843-4398-B687-92DFBF654210}"/>
    <hyperlink ref="H232" r:id="rId20" xr:uid="{EE3F7E52-BF26-4CBB-B3A2-5A64E5467B4A}"/>
    <hyperlink ref="G228" r:id="rId21" xr:uid="{A85D9C0D-02C0-40EE-8162-8C2B6F424FF1}"/>
    <hyperlink ref="G229" r:id="rId22" xr:uid="{B69908E2-B8A1-454A-8121-48B2FAA70EDC}"/>
    <hyperlink ref="G230" r:id="rId23" xr:uid="{4B5DB5BD-25BA-4765-A403-3EDAE5D441B8}"/>
    <hyperlink ref="G231" r:id="rId24" xr:uid="{025B9436-150A-4985-AE98-53F3462F3489}"/>
    <hyperlink ref="G232" r:id="rId25" xr:uid="{C44AF32E-1A8D-4A26-AAF9-5C91C26EF9BD}"/>
    <hyperlink ref="G233" r:id="rId26" xr:uid="{C5FCE5C7-04AB-4ECD-B43F-65CF2C871DDA}"/>
  </hyperlinks>
  <printOptions horizontalCentered="1" gridLines="1"/>
  <pageMargins left="0.31496062992125984" right="0.31496062992125984" top="0.35433070866141736" bottom="0.35433070866141736" header="0" footer="0"/>
  <pageSetup paperSize="8" scale="83" fitToHeight="0" orientation="landscape" cellComments="atEnd" r:id="rId27"/>
  <rowBreaks count="14" manualBreakCount="14">
    <brk id="71" max="16383" man="1"/>
    <brk id="117" max="16383" man="1"/>
    <brk id="146" max="16383" man="1"/>
    <brk id="259" max="16383" man="1"/>
    <brk id="324" max="16383" man="1"/>
    <brk id="374" max="16383" man="1"/>
    <brk id="419" max="16383" man="1"/>
    <brk id="473" max="16383" man="1"/>
    <brk id="526" max="16383" man="1"/>
    <brk id="593" max="16383" man="1"/>
    <brk id="641" max="16383" man="1"/>
    <brk id="707" max="16383" man="1"/>
    <brk id="751" max="16383" man="1"/>
    <brk id="819" max="16383" man="1"/>
  </rowBreaks>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Årsplan_hele året</vt:lpstr>
      <vt:lpstr>'Årsplan_hele året'!Udskriftstitler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Kyhn, Birthe</dc:creator>
  <cp:lastModifiedBy>Kyhn, Birthe</cp:lastModifiedBy>
  <cp:lastPrinted>2020-05-19T14:31:52Z</cp:lastPrinted>
  <dcterms:created xsi:type="dcterms:W3CDTF">2020-05-01T11:46:05Z</dcterms:created>
  <dcterms:modified xsi:type="dcterms:W3CDTF">2020-11-25T09:04:28Z</dcterms:modified>
</cp:coreProperties>
</file>